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updateLinks="never" defaultThemeVersion="166925"/>
  <mc:AlternateContent xmlns:mc="http://schemas.openxmlformats.org/markup-compatibility/2006">
    <mc:Choice Requires="x15">
      <x15ac:absPath xmlns:x15ac="http://schemas.microsoft.com/office/spreadsheetml/2010/11/ac" url="C:\Users\M1007631\OneDrive - Defra\Nutrient Neutrality\Calculators\"/>
    </mc:Choice>
  </mc:AlternateContent>
  <xr:revisionPtr revIDLastSave="0" documentId="13_ncr:1_{F4DCB15F-B91E-4AA1-9BE7-B497601EF18F}" xr6:coauthVersionLast="47" xr6:coauthVersionMax="47" xr10:uidLastSave="{00000000-0000-0000-0000-000000000000}"/>
  <workbookProtection workbookAlgorithmName="SHA-512" workbookHashValue="Mjd/1avYiYrDiXn6P9kf69dkkai8SHSLjafkrvTgTw0EhwsUR8efeP4b8pv7nbxKv12KmIXQXc3+Lfdd0j68Nw==" workbookSaltValue="DmYrgT0c8LfbdeiQpsFmGw==" workbookSpinCount="100000" lockStructure="1"/>
  <bookViews>
    <workbookView xWindow="-26265" yWindow="-1500" windowWidth="20490" windowHeight="14760" xr2:uid="{82A04952-E2FF-4A89-87AE-39010027FF5F}"/>
  </bookViews>
  <sheets>
    <sheet name="Intro" sheetId="6" r:id="rId1"/>
    <sheet name="Background" sheetId="16" r:id="rId2"/>
    <sheet name="River Mease SAC" sheetId="15" r:id="rId3"/>
    <sheet name="Instructions" sheetId="17" r:id="rId4"/>
    <sheet name="Development site details" sheetId="2" r:id="rId5"/>
    <sheet name="Stage 1" sheetId="7" r:id="rId6"/>
    <sheet name="Stage 2" sheetId="8" r:id="rId7"/>
    <sheet name="Stage 3" sheetId="9" r:id="rId8"/>
    <sheet name="Stage 4" sheetId="10" r:id="rId9"/>
    <sheet name="Lookups" sheetId="3" r:id="rId10"/>
    <sheet name="Stage 4 (2)" sheetId="13" state="hidden" r:id="rId11"/>
  </sheets>
  <externalReferences>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04" i="3" l="1"/>
  <c r="O26" i="3"/>
  <c r="O32" i="3"/>
  <c r="O37" i="3"/>
  <c r="O40" i="3"/>
  <c r="O42" i="3"/>
  <c r="O45" i="3"/>
  <c r="O50" i="3"/>
  <c r="N26" i="3"/>
  <c r="D14" i="7"/>
  <c r="J104" i="3"/>
  <c r="H22" i="7" l="1"/>
  <c r="E11" i="9"/>
  <c r="E12" i="9"/>
  <c r="E13" i="9"/>
  <c r="E14" i="9"/>
  <c r="E15" i="9"/>
  <c r="E16" i="9"/>
  <c r="E17" i="9"/>
  <c r="E18" i="9"/>
  <c r="E19" i="9"/>
  <c r="E20" i="9"/>
  <c r="E21" i="9"/>
  <c r="E22" i="9"/>
  <c r="E23" i="9"/>
  <c r="E24" i="9"/>
  <c r="E25" i="9"/>
  <c r="E26" i="9"/>
  <c r="E10" i="9"/>
  <c r="N50" i="3"/>
  <c r="N45" i="3"/>
  <c r="N42" i="3"/>
  <c r="N40" i="3"/>
  <c r="N37" i="3"/>
  <c r="N32" i="3"/>
  <c r="M26" i="3"/>
  <c r="M29" i="3"/>
  <c r="M32" i="3"/>
  <c r="M35" i="3"/>
  <c r="M37" i="3"/>
  <c r="M40" i="3"/>
  <c r="M42" i="3"/>
  <c r="M45" i="3"/>
  <c r="M48" i="3"/>
  <c r="M50" i="3"/>
  <c r="L50" i="3"/>
  <c r="L48" i="3"/>
  <c r="L45" i="3"/>
  <c r="L42" i="3"/>
  <c r="L40" i="3"/>
  <c r="L37" i="3"/>
  <c r="L35" i="3"/>
  <c r="L32" i="3"/>
  <c r="L29" i="3"/>
  <c r="L26" i="3"/>
  <c r="K27" i="3"/>
  <c r="K28" i="3"/>
  <c r="K29" i="3"/>
  <c r="K30" i="3"/>
  <c r="K31" i="3"/>
  <c r="K32" i="3"/>
  <c r="K33" i="3"/>
  <c r="K34" i="3"/>
  <c r="K35" i="3"/>
  <c r="K36" i="3"/>
  <c r="K37" i="3"/>
  <c r="K38" i="3"/>
  <c r="K39" i="3"/>
  <c r="K40" i="3"/>
  <c r="K41" i="3"/>
  <c r="K42" i="3"/>
  <c r="K43" i="3"/>
  <c r="K44" i="3"/>
  <c r="K45" i="3"/>
  <c r="K46" i="3"/>
  <c r="K47" i="3"/>
  <c r="K48" i="3"/>
  <c r="K49" i="3"/>
  <c r="K50" i="3"/>
  <c r="K51" i="3"/>
  <c r="K52" i="3"/>
  <c r="K26"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53" i="3"/>
  <c r="E15" i="8" l="1"/>
  <c r="F16" i="8"/>
  <c r="F17" i="8"/>
  <c r="F18" i="8"/>
  <c r="F19" i="8"/>
  <c r="F20" i="8"/>
  <c r="F21" i="8"/>
  <c r="F22" i="8"/>
  <c r="F23" i="8"/>
  <c r="F24" i="8"/>
  <c r="F25" i="8"/>
  <c r="F26" i="8"/>
  <c r="F31" i="8"/>
  <c r="F15" i="8"/>
  <c r="E16" i="8"/>
  <c r="E17" i="8"/>
  <c r="E18" i="8"/>
  <c r="E19" i="8"/>
  <c r="E20" i="8"/>
  <c r="E21" i="8"/>
  <c r="E22" i="8"/>
  <c r="E23" i="8"/>
  <c r="E24" i="8"/>
  <c r="E25" i="8"/>
  <c r="E26" i="8"/>
  <c r="E31" i="8"/>
  <c r="F30" i="8"/>
  <c r="E30" i="8"/>
  <c r="J108" i="3" l="1"/>
  <c r="F27" i="8" s="1"/>
  <c r="C21" i="10" l="1"/>
  <c r="F21" i="10"/>
  <c r="F29" i="10"/>
  <c r="F22" i="10"/>
  <c r="G35" i="7"/>
  <c r="G20" i="7"/>
  <c r="C20" i="7"/>
  <c r="G10" i="7"/>
  <c r="F15" i="7"/>
  <c r="H15" i="7"/>
  <c r="G22" i="7"/>
  <c r="H14" i="7"/>
  <c r="F14" i="7"/>
  <c r="G14" i="7"/>
  <c r="G15" i="7"/>
  <c r="I35" i="7"/>
  <c r="I22" i="7"/>
  <c r="D22" i="7"/>
  <c r="D23" i="7" s="1"/>
  <c r="D26" i="7" l="1"/>
  <c r="F19" i="9"/>
  <c r="F23" i="9"/>
  <c r="J110" i="3"/>
  <c r="F29" i="8" s="1"/>
  <c r="J109" i="3"/>
  <c r="F28" i="8" s="1"/>
  <c r="I109" i="3"/>
  <c r="E28" i="8" s="1"/>
  <c r="I110" i="3"/>
  <c r="E29" i="8" s="1"/>
  <c r="I108" i="3"/>
  <c r="E27" i="8" s="1"/>
  <c r="D15" i="7"/>
  <c r="H35" i="7" s="1"/>
  <c r="H110" i="3"/>
  <c r="H109" i="3"/>
  <c r="H108" i="3"/>
  <c r="H107" i="3"/>
  <c r="H106" i="3"/>
  <c r="H105" i="3"/>
  <c r="H104" i="3"/>
  <c r="H103" i="3"/>
  <c r="D32" i="7" l="1"/>
  <c r="F11" i="9"/>
  <c r="F10" i="9"/>
  <c r="F12" i="9"/>
  <c r="F15" i="9"/>
  <c r="F26" i="9"/>
  <c r="F22" i="9"/>
  <c r="F18" i="9"/>
  <c r="F14" i="9"/>
  <c r="F25" i="9"/>
  <c r="F21" i="9"/>
  <c r="F13" i="9"/>
  <c r="F24" i="9"/>
  <c r="F20" i="9"/>
  <c r="F16" i="9"/>
  <c r="E27" i="9" l="1"/>
  <c r="G22" i="10" s="1"/>
  <c r="F17" i="9"/>
  <c r="F27" i="9" s="1"/>
  <c r="F32" i="8"/>
  <c r="D27" i="7"/>
  <c r="D33" i="7"/>
  <c r="E32" i="8"/>
  <c r="G28" i="10" l="1"/>
  <c r="D11" i="10"/>
  <c r="D17" i="10"/>
  <c r="D34" i="7"/>
  <c r="D35" i="7" s="1"/>
  <c r="D28" i="7"/>
  <c r="C16" i="13"/>
  <c r="C27" i="13"/>
  <c r="D16" i="10" l="1"/>
  <c r="D18" i="10" s="1"/>
  <c r="D19" i="10" s="1"/>
  <c r="D28" i="10" s="1"/>
  <c r="C15" i="13"/>
  <c r="C17" i="13" s="1"/>
  <c r="C18" i="13" s="1"/>
  <c r="F29" i="13" s="1"/>
  <c r="D27" i="9" l="1"/>
  <c r="D32" i="8"/>
  <c r="D29" i="7"/>
  <c r="D10" i="10" l="1"/>
  <c r="D12" i="10" s="1"/>
  <c r="D13" i="10" s="1"/>
  <c r="D22" i="10" s="1"/>
  <c r="C24" i="13"/>
  <c r="C30" i="13" s="1"/>
  <c r="C33" i="13" s="1"/>
  <c r="H11" i="13" l="1"/>
  <c r="F24" i="13"/>
</calcChain>
</file>

<file path=xl/sharedStrings.xml><?xml version="1.0" encoding="utf-8"?>
<sst xmlns="http://schemas.openxmlformats.org/spreadsheetml/2006/main" count="686" uniqueCount="284">
  <si>
    <t>Catchment</t>
  </si>
  <si>
    <t>Farmscoper Farm Term</t>
  </si>
  <si>
    <t>Climate</t>
  </si>
  <si>
    <t>Farmscoper Soil Drainage Term</t>
  </si>
  <si>
    <t>Lookup</t>
  </si>
  <si>
    <t>Operational Catchment</t>
  </si>
  <si>
    <t>Farmscoper equivalent</t>
  </si>
  <si>
    <t>Cereals</t>
  </si>
  <si>
    <t>600to700</t>
  </si>
  <si>
    <t>FreeDrain</t>
  </si>
  <si>
    <t>DrainedAr</t>
  </si>
  <si>
    <t>DrainedArGr</t>
  </si>
  <si>
    <t>700to900</t>
  </si>
  <si>
    <t>Soilscape drainage term</t>
  </si>
  <si>
    <t>Farmscoper term</t>
  </si>
  <si>
    <t>Definition</t>
  </si>
  <si>
    <t>Freely draining</t>
  </si>
  <si>
    <t>Free Draining</t>
  </si>
  <si>
    <t>Slightly impeded drainage</t>
  </si>
  <si>
    <t>Drained for arable</t>
  </si>
  <si>
    <t>Impeded drainage</t>
  </si>
  <si>
    <t>Drained for arable and grassland</t>
  </si>
  <si>
    <t>900to1200</t>
  </si>
  <si>
    <t>Variable</t>
  </si>
  <si>
    <t>Surface Wetness</t>
  </si>
  <si>
    <t>General</t>
  </si>
  <si>
    <t>Naturally wet</t>
  </si>
  <si>
    <t>1200to1500</t>
  </si>
  <si>
    <t>Over1500</t>
  </si>
  <si>
    <t>Rainfall band</t>
  </si>
  <si>
    <t>508 - 525</t>
  </si>
  <si>
    <t>525.1 - 550</t>
  </si>
  <si>
    <t>Horticulture</t>
  </si>
  <si>
    <t>550.1 - 575</t>
  </si>
  <si>
    <t>575.1 - 600</t>
  </si>
  <si>
    <t>600.1 - 625</t>
  </si>
  <si>
    <t>625.1 - 650</t>
  </si>
  <si>
    <t>650.1 - 675</t>
  </si>
  <si>
    <t>675.1 - 700</t>
  </si>
  <si>
    <t>700.1 - 750</t>
  </si>
  <si>
    <t>750.1 - 800</t>
  </si>
  <si>
    <t>800.1 - 850</t>
  </si>
  <si>
    <t>Pig</t>
  </si>
  <si>
    <t>850.1 - 900</t>
  </si>
  <si>
    <t>900.1 - 950</t>
  </si>
  <si>
    <t>950.1 - 1,000</t>
  </si>
  <si>
    <t>1,000.1 - 1,100</t>
  </si>
  <si>
    <t>Poultry</t>
  </si>
  <si>
    <t>1,100.1 - 1,200</t>
  </si>
  <si>
    <t>1,200.1 - 1,400</t>
  </si>
  <si>
    <t>1,400.1 - 1,600</t>
  </si>
  <si>
    <t>1,600.1 - 2,000</t>
  </si>
  <si>
    <t>2,000.1 - 2,400</t>
  </si>
  <si>
    <t>2,400.1 - 3,000</t>
  </si>
  <si>
    <t>3,000.1 - 4,000</t>
  </si>
  <si>
    <t>Dairy</t>
  </si>
  <si>
    <t>4,000.1 - 5,500</t>
  </si>
  <si>
    <t>LFA</t>
  </si>
  <si>
    <t>Lowland</t>
  </si>
  <si>
    <t>Mixed</t>
  </si>
  <si>
    <t>Greenspace</t>
  </si>
  <si>
    <t>Woodland</t>
  </si>
  <si>
    <t>Shrub</t>
  </si>
  <si>
    <t>Water</t>
  </si>
  <si>
    <t>Residential urban land</t>
  </si>
  <si>
    <t>Open urban land</t>
  </si>
  <si>
    <t>Community food growing</t>
  </si>
  <si>
    <t>Planning Application number:</t>
  </si>
  <si>
    <t>Site Address:</t>
  </si>
  <si>
    <t>Site Name:</t>
  </si>
  <si>
    <t>Catchment:</t>
  </si>
  <si>
    <t>Date of first occupancy:</t>
  </si>
  <si>
    <t>Average occupancy rate:</t>
  </si>
  <si>
    <t>Additional population</t>
  </si>
  <si>
    <t>Wastewater by development</t>
  </si>
  <si>
    <t>litres/day</t>
  </si>
  <si>
    <t>TP discharge from WwTW</t>
  </si>
  <si>
    <t>mg TP/day</t>
  </si>
  <si>
    <t>Convert to kg/TP/d</t>
  </si>
  <si>
    <t>kg TP/day</t>
  </si>
  <si>
    <t>Convert to kg/TP/yr</t>
  </si>
  <si>
    <t>kg TP/yr</t>
  </si>
  <si>
    <t>Soil drainage type:</t>
  </si>
  <si>
    <t>Total:</t>
  </si>
  <si>
    <t>N loading to WwTW:</t>
  </si>
  <si>
    <t>Net land use N change:</t>
  </si>
  <si>
    <t>N budget:</t>
  </si>
  <si>
    <t>N budget + 20% buffer:</t>
  </si>
  <si>
    <t>P budget + 20% buffer:</t>
  </si>
  <si>
    <t>P budget:</t>
  </si>
  <si>
    <t>Net land use P change:</t>
  </si>
  <si>
    <t>P loading to WwTW:</t>
  </si>
  <si>
    <t>NVZ</t>
  </si>
  <si>
    <t>No</t>
  </si>
  <si>
    <t>Yes</t>
  </si>
  <si>
    <t>Nitrogen export coefficient</t>
  </si>
  <si>
    <r>
      <t xml:space="preserve">Water usage </t>
    </r>
    <r>
      <rPr>
        <sz val="11"/>
        <rFont val="Arial"/>
        <family val="2"/>
      </rPr>
      <t>(litres/person/day)</t>
    </r>
    <r>
      <rPr>
        <b/>
        <sz val="11"/>
        <rFont val="Arial"/>
        <family val="2"/>
      </rPr>
      <t>:</t>
    </r>
  </si>
  <si>
    <r>
      <t xml:space="preserve">Area </t>
    </r>
    <r>
      <rPr>
        <sz val="11"/>
        <color theme="1"/>
        <rFont val="Arial"/>
        <family val="2"/>
      </rPr>
      <t>(ha)</t>
    </r>
  </si>
  <si>
    <r>
      <t>Commercial/</t>
    </r>
    <r>
      <rPr>
        <i/>
        <sz val="11"/>
        <color theme="1"/>
        <rFont val="Arial"/>
        <family val="2"/>
      </rPr>
      <t>i</t>
    </r>
    <r>
      <rPr>
        <sz val="11"/>
        <color theme="1"/>
        <rFont val="Arial"/>
        <family val="2"/>
      </rPr>
      <t>ndustrial urban land</t>
    </r>
  </si>
  <si>
    <t>Discharge Site Name</t>
  </si>
  <si>
    <t>Septic Tank default</t>
  </si>
  <si>
    <t>TN discharge from WwTW</t>
  </si>
  <si>
    <t>mg TN/day</t>
  </si>
  <si>
    <t>kg TN/day</t>
  </si>
  <si>
    <t>kg TN/yr</t>
  </si>
  <si>
    <t>Convert to kg/TN/d</t>
  </si>
  <si>
    <t>Convert to kg/TN/yr</t>
  </si>
  <si>
    <t>Package Treatment Plant default</t>
  </si>
  <si>
    <t>Package Treatment Plant user defined</t>
  </si>
  <si>
    <t>Septic Tank user defined</t>
  </si>
  <si>
    <t>Table 1: Stage 1 WwTW lookup</t>
  </si>
  <si>
    <t>-</t>
  </si>
  <si>
    <t>Mid</t>
  </si>
  <si>
    <t>Farmscoper Equivalent</t>
  </si>
  <si>
    <t>Under600</t>
  </si>
  <si>
    <t>Residential N export coefficient (kg/ha/yr)</t>
  </si>
  <si>
    <t>Commercial / industrial N export coefficient (kg/ha/yr)</t>
  </si>
  <si>
    <t>Open urban N export coefficient (kg/ha/yr)</t>
  </si>
  <si>
    <t>Residential P export coefficient (kg/ha/yr)</t>
  </si>
  <si>
    <t>Commercial / industrial P export coefficient (kg/ha/yr)</t>
  </si>
  <si>
    <t>Open urban P export coefficient (kg/ha/yr)</t>
  </si>
  <si>
    <t xml:space="preserve">P Urban Runoff Coefficient </t>
  </si>
  <si>
    <t>Table 2: Stage 2 and 3 Landcover lookup</t>
  </si>
  <si>
    <t>All Possible Landcover Types</t>
  </si>
  <si>
    <t>Table 5: Stage 2 and 3 Soil Drainage Lookup</t>
  </si>
  <si>
    <t>Table 4: Stage 2 and 3 Catchment Lookup</t>
  </si>
  <si>
    <t>Table 6: Stage 2 and 3 NVZ Lookup</t>
  </si>
  <si>
    <t>Table 7: Stage 2 and 3 Landcovers</t>
  </si>
  <si>
    <t>Table 8: Stage 2 and 3 Landcover lookup</t>
  </si>
  <si>
    <t>The total amount of nitrogen to mitigate is:</t>
  </si>
  <si>
    <t>Your final phosphorus budget is:</t>
  </si>
  <si>
    <t>have pop up message if negative that says soemthing like "No P to mitigate</t>
  </si>
  <si>
    <t xml:space="preserve">If positive have message similar to the right </t>
  </si>
  <si>
    <r>
      <t xml:space="preserve">Date </t>
    </r>
    <r>
      <rPr>
        <sz val="11"/>
        <rFont val="Calibri"/>
        <family val="2"/>
        <scheme val="minor"/>
      </rPr>
      <t>(dd/mm/yyyy)</t>
    </r>
    <r>
      <rPr>
        <b/>
        <sz val="11"/>
        <rFont val="Calibri"/>
        <family val="2"/>
        <scheme val="minor"/>
      </rPr>
      <t>:</t>
    </r>
  </si>
  <si>
    <t>AND($C$9&lt;DATE(2025,1,1),OR((VLOOKUP($C$13,Lookups!$A$9:$E$14,2,FALSE))&gt;(VLOOKUP($C$13,Lookups!$A$9:$E$14,4,FALSE)),(VLOOKUP($C$13,Lookups!$A$9:$E$14,3,FALSE))&gt;(VLOOKUP($C$13,Lookups!$A$9:$E$14,5,FALSE))))</t>
  </si>
  <si>
    <t>Annual wastewater TP load</t>
  </si>
  <si>
    <t>Annual wastewater TN load</t>
  </si>
  <si>
    <t>people</t>
  </si>
  <si>
    <t>The total annual phosphorus load to mitigate is:</t>
  </si>
  <si>
    <t>The total annual nitrogen load to mitigate is:</t>
  </si>
  <si>
    <t xml:space="preserve">http://environment.data.gov.uk/catchment-planning/ </t>
  </si>
  <si>
    <t xml:space="preserve">http://www.landis.org.uk/soilscapes/#.  </t>
  </si>
  <si>
    <t>http://mapapps2.bgs.ac.uk/ukso/home.html?layers=NVZEng</t>
  </si>
  <si>
    <t>New land use type(s)</t>
  </si>
  <si>
    <t>Existing land use type(s)</t>
  </si>
  <si>
    <t>Instructions</t>
  </si>
  <si>
    <t>The nutrient budget for a site is calculated in four stages, with each stage implemented in the following worksheets.</t>
  </si>
  <si>
    <t xml:space="preserve">Note: </t>
  </si>
  <si>
    <t xml:space="preserve">Key: </t>
  </si>
  <si>
    <t>Values to be entered by the user</t>
  </si>
  <si>
    <t>Fixed or calculated values</t>
  </si>
  <si>
    <t>Lookup tables</t>
  </si>
  <si>
    <r>
      <t>It is advisable to retain a blank copy of this workbook and "Save as" a new copy each time you calculate a budget, in case of any mistakes in data inputs or to ease calculation of new nutrient budgets .</t>
    </r>
    <r>
      <rPr>
        <b/>
        <sz val="11"/>
        <color rgb="FF000000"/>
        <rFont val="Arial"/>
        <family val="2"/>
      </rPr>
      <t xml:space="preserve"> </t>
    </r>
  </si>
  <si>
    <t>When a cell is selected, instructions are shown on how to fill out the cell:</t>
  </si>
  <si>
    <t xml:space="preserve">In this section the user will need to enter: </t>
  </si>
  <si>
    <t>The date of first occupancy. This is because some wastewater treatment works (WwTW) may be due an upgrade in 2025 which will change the nutrient concentration permit values. This will be shown through two values for the permits and nutrients load from before and after the upgrade.</t>
  </si>
  <si>
    <t>In this section some environmental information about the development will need to be entered as well as the type(s) and area(s) of landcover on the development site. Only landcovers for the land that is being altered by the development should be entered.</t>
  </si>
  <si>
    <t>The drop down list of landcover types contains seven agricultural landcover types and eight different non-agricultural landcover types that may be present in the development. Please find out what landcover types are within the development before completing this tool. If there is a landcover within the development area that is not in the list please select the most similar landcover type.</t>
  </si>
  <si>
    <t>The instructions at the bottom of this page detail how to find the environmental information for the site if it is unknown.</t>
  </si>
  <si>
    <t>In this section the user will need to select the type(s) and area(s) of the landcover present on the new site.</t>
  </si>
  <si>
    <t>The drop down list of landcover types contains eight different landcover types that may be present on the development site. Please find out what landcover types will be within the development site before completing this tool. If there is a landcover within the development site that is not in the list please select the most similar landcover type.</t>
  </si>
  <si>
    <t>The guidance document that accompanies this calculator breaks down what is included in each landcover type.</t>
  </si>
  <si>
    <t>This final stage automatically calculates the results from Stage 1-3 using the equation below.</t>
  </si>
  <si>
    <t>The value(s) shown are how much nutrient mitigation is required in kilograms per year to achieve nutrient neutrality.</t>
  </si>
  <si>
    <t>If there are two values due to changing permits, the calculator will show the total amount of nutrient mitigation that is needed before and after the changing permit date.</t>
  </si>
  <si>
    <t>b) Search the location by place name, postcode etc. This will give a high-level view of the area. Use the zoom feature to find the exact location of the development.</t>
  </si>
  <si>
    <t>c) Click on the light blue area on the map in which the development is located. This will bring the user to the Operational Catchment page</t>
  </si>
  <si>
    <t>d) Make note of the name of the Operational Catchment and select it from the dropdown list in the relevant cell.</t>
  </si>
  <si>
    <t>b) Find the site location on the map by using the search bar on the right side of the map in the 'Search' tab. Searching an area will generate a pop up window in which you can view the soil information by clicking 'View soil information'. If this is not an option then click on the relevant soil type on the map and click on the 'Soil information' tab on the right hand side of the map, below the 'Search' tab.</t>
  </si>
  <si>
    <t>c) The 'Soil drainage type' value can be found In the 'Soil information' under the title 'Drainage:'</t>
  </si>
  <si>
    <t>d) Make a note of this soil type and select the relevant soil drainage type from the drop down list in the relevant cell.</t>
  </si>
  <si>
    <t>c) Click on the dropdown list next to the title 'Select spatial data type to view:' on the left of the map and select 'Rainfall'. Next select the Legend tab.</t>
  </si>
  <si>
    <t>d) Zoom in on the map to find the location of the development and find the corresponding rainfall range from the Legend.</t>
  </si>
  <si>
    <t xml:space="preserve">e) Select the rainfall band from the drop down list in the table.  If your rainfall band is not in the drop down list, please select the closest band shown in the list.                               </t>
  </si>
  <si>
    <t>b) Enter the location of the development site in the search bar.</t>
  </si>
  <si>
    <t xml:space="preserve">d) Make note of this and select this in the dropdown list. </t>
  </si>
  <si>
    <t>2.1 Stage 1: calculate the new nutrient load associated with the additional wastewater:</t>
  </si>
  <si>
    <t>2.2 Stage 2 - calculate the annual nutrient load from existing (pre development) land use on the development site:</t>
  </si>
  <si>
    <t>2.3 Stage 3 - calculate the annual nutrient load from new (post-development) land use on the development site:</t>
  </si>
  <si>
    <t>2.4 Stage 4 - calculate the net change in nutrient loading for the site and the final annual nutrient budget for the development site:</t>
  </si>
  <si>
    <t>2.5 The equation used to calculate the nutrient budget:</t>
  </si>
  <si>
    <t>3.1 Instructions for finding the Operational Catchment that the development is situated within:</t>
  </si>
  <si>
    <t>3.3 Instructions for finding the annual average rainfall that the development will receive using the National River Flow Archive:</t>
  </si>
  <si>
    <t>3.4 Instructions for finding out whether the development is in a Nitrate Vulnerable Zone (NVZ):</t>
  </si>
  <si>
    <t>Mean P export of farm type</t>
  </si>
  <si>
    <t>Mean N export of farm type</t>
  </si>
  <si>
    <t>Mean P export of farm type and climate combination</t>
  </si>
  <si>
    <t>Mean N export of farm type and climate combination</t>
  </si>
  <si>
    <t>Table 3: Stage 2 and 3 Rainfall / Urban Lookup</t>
  </si>
  <si>
    <t>N Urban Runoff Coefficient (kg/ha/yr)</t>
  </si>
  <si>
    <t>Background</t>
  </si>
  <si>
    <t>Stage 1 Calculated Loading</t>
  </si>
  <si>
    <t>User Inputs</t>
  </si>
  <si>
    <t>Stage 1</t>
  </si>
  <si>
    <r>
      <t xml:space="preserve">Annual phosphorus nutrient export 
</t>
    </r>
    <r>
      <rPr>
        <sz val="11"/>
        <color theme="1"/>
        <rFont val="Arial"/>
        <family val="2"/>
      </rPr>
      <t>(kg TP)</t>
    </r>
  </si>
  <si>
    <r>
      <t xml:space="preserve">Annual nitrogen nutrient export 
</t>
    </r>
    <r>
      <rPr>
        <sz val="11"/>
        <color theme="1"/>
        <rFont val="Arial"/>
        <family val="2"/>
      </rPr>
      <t>(kg TN)</t>
    </r>
  </si>
  <si>
    <t>Stage 2</t>
  </si>
  <si>
    <t>Stage 3</t>
  </si>
  <si>
    <t>Calculated Outputs</t>
  </si>
  <si>
    <t>Stage 4</t>
  </si>
  <si>
    <t>Look Up Tables</t>
  </si>
  <si>
    <r>
      <t xml:space="preserve">Annual nitrogen nutrient export
</t>
    </r>
    <r>
      <rPr>
        <sz val="11"/>
        <color theme="1"/>
        <rFont val="Arial"/>
        <family val="2"/>
      </rPr>
      <t>(kg TN)</t>
    </r>
  </si>
  <si>
    <t>3.2 Instructions for finding the drainage associated with the predominant soil type within development site:</t>
  </si>
  <si>
    <t>Farm Lookup</t>
  </si>
  <si>
    <t>c) Once the area has been located, click on the map where the development is located to find out if is within an NVZ.</t>
  </si>
  <si>
    <r>
      <t xml:space="preserve">Wastewater treatment works P permit </t>
    </r>
    <r>
      <rPr>
        <sz val="11"/>
        <rFont val="Arial"/>
        <family val="2"/>
      </rPr>
      <t>(mg TP/litre)</t>
    </r>
    <r>
      <rPr>
        <b/>
        <sz val="11"/>
        <rFont val="Arial"/>
        <family val="2"/>
      </rPr>
      <t>:</t>
    </r>
  </si>
  <si>
    <t>Wastewater treatment works:</t>
  </si>
  <si>
    <r>
      <t xml:space="preserve">Wastewater treatment works N permit </t>
    </r>
    <r>
      <rPr>
        <sz val="11"/>
        <rFont val="Arial"/>
        <family val="2"/>
      </rPr>
      <t>(mg TN/litre)</t>
    </r>
    <r>
      <rPr>
        <b/>
        <sz val="11"/>
        <rFont val="Arial"/>
        <family val="2"/>
      </rPr>
      <t>:</t>
    </r>
  </si>
  <si>
    <r>
      <t xml:space="preserve">Annual average rainfall </t>
    </r>
    <r>
      <rPr>
        <sz val="11"/>
        <rFont val="Arial"/>
        <family val="2"/>
      </rPr>
      <t>(mm)</t>
    </r>
    <r>
      <rPr>
        <b/>
        <sz val="11"/>
        <rFont val="Arial"/>
        <family val="2"/>
      </rPr>
      <t>:</t>
    </r>
  </si>
  <si>
    <t>Within Nitrate Vulnerable Zone (NVZ):</t>
  </si>
  <si>
    <t>https://nrfa.ceh.ac.uk/data/station/spatial/28019</t>
  </si>
  <si>
    <t>b) This link will bring the user to the Trent at Drakelow Park flow gauge catchment information page.</t>
  </si>
  <si>
    <t>Mease</t>
  </si>
  <si>
    <t>Mease|Cereals|TRUE|600to700|FreeDrain</t>
  </si>
  <si>
    <t>Mease|Cereals|TRUE|600to700|DrainedAr</t>
  </si>
  <si>
    <t>Mease|Cereals|TRUE|600to700|DrainedArGr</t>
  </si>
  <si>
    <t>Mease|Cereals|TRUE|700to900|FreeDrain</t>
  </si>
  <si>
    <t>Mease|Cereals|TRUE|700to900|DrainedAr</t>
  </si>
  <si>
    <t>Mease|Cereals|TRUE|700to900|DrainedArGr</t>
  </si>
  <si>
    <t>Mease|General|TRUE|600to700|FreeDrain</t>
  </si>
  <si>
    <t>Mease|General|TRUE|600to700|DrainedAr</t>
  </si>
  <si>
    <t>Mease|General|TRUE|600to700|DrainedArGr</t>
  </si>
  <si>
    <t>Mease|General|TRUE|700to900|FreeDrain</t>
  </si>
  <si>
    <t>Mease|General|TRUE|700to900|DrainedArGr</t>
  </si>
  <si>
    <t>Mease|Dairy|TRUE|600to700|DrainedAr</t>
  </si>
  <si>
    <t>Mease|Dairy|TRUE|600to700|DrainedArGr</t>
  </si>
  <si>
    <t>Mease|LFA|TRUE|600to700|FreeDrain</t>
  </si>
  <si>
    <t>Mease|LFA|TRUE|600to700|DrainedAr</t>
  </si>
  <si>
    <t>Mease|LFA|TRUE|600to700|DrainedArGr</t>
  </si>
  <si>
    <t>Mease|Lowland|TRUE|600to700|FreeDrain</t>
  </si>
  <si>
    <t>Mease|Lowland|TRUE|600to700|DrainedAr</t>
  </si>
  <si>
    <t>Mease|Lowland|TRUE|600to700|DrainedArGr</t>
  </si>
  <si>
    <t>Mease|Lowland|TRUE|700to900|FreeDrain</t>
  </si>
  <si>
    <t>Mease|Lowland|TRUE|700to900|DrainedArGr</t>
  </si>
  <si>
    <t>Mease|Mixed|TRUE|600to700|FreeDrain</t>
  </si>
  <si>
    <t>Mease|Mixed|TRUE|600to700|DrainedAr</t>
  </si>
  <si>
    <t>Mease|Mixed|TRUE|600to700|DrainedArGr</t>
  </si>
  <si>
    <t xml:space="preserve">The values already included in this tool have been chosen based on research to determine suitable inputs to the nutrient budget that meet the HRA tests of beyond reasonable scientific doubt, in perpetuity (practically speaking this is 80-125 years) and in accordance with the precautionary principle. If editing any values in this tool, you must make sure there is a sufficient evidence base to justify these changes and that the new inputs are selected in accordance with the precautionary principle.  </t>
  </si>
  <si>
    <t>Development site details</t>
  </si>
  <si>
    <t xml:space="preserve">The river’s vegetation is exceptionally species rich, with many of the typical chalk stream plants present in abundance, including species such as river water-crowfoot and stream water-crowfoot. </t>
  </si>
  <si>
    <t xml:space="preserve">Increased levels of nitrogen and phosphorous entering aquatic environments via surface water and groundwater can severely threaten these sensitive habitats and species within the SAC. The elevated levels of nutrients can cause eutrophication, leading to algal blooms which disrupt normal ecosystem function and cause major changes in the aquatic community. These algal blooms can result in reduced levels of oxygen within the water, which in turn can lead to the death of many aquatic organisms including invertebrates and fish. </t>
  </si>
  <si>
    <t>The River Mease arises in Northwest Leicestershire and flows westwards through Derbyshire and Staffordshire for around 25 km across a largely rural and agricultural landscape to its confluence with the Trent at Croxall. The catchment is characterised by extensive areas of arable cultivation with low, sparse hedges and few hedgerow trees.</t>
  </si>
  <si>
    <t>The river is a relatively unmodified lowland river with a diverse range of in-channel features, including riffles, pools, shoals, vegetated channel margins and bank side tree cover which provide a range of ecological conditions. It supports nationally significant populations of spined loach and bullhead, along with white-clawed crayfish and otter, both of which have restricted distribution within the east midlands.</t>
  </si>
  <si>
    <t>More detailed information on the qualifying features of the SAC and details of water quality data highlighting the current nutrient problems in the river are available in the Natural England River Mease SAC evidence summary.</t>
  </si>
  <si>
    <t>River Mease Special Area of Conservation (SAC)</t>
  </si>
  <si>
    <t>3090_Tame</t>
  </si>
  <si>
    <t>Commercial/industrial urban land</t>
  </si>
  <si>
    <t>Phosphorus, Total as P (mg/l)</t>
  </si>
  <si>
    <t>Phosphorus, Total as P (mg/l), permit post 2025</t>
  </si>
  <si>
    <t>Nitrogen, Total as N (mg/l), permit post 2025</t>
  </si>
  <si>
    <t>Phosphorus export coefficient</t>
  </si>
  <si>
    <t>River Mease Specific Landcover Types</t>
  </si>
  <si>
    <t>Chilcote STW</t>
  </si>
  <si>
    <t>Clifton Campville STW</t>
  </si>
  <si>
    <t>Donisthorpe STW</t>
  </si>
  <si>
    <t>Edingale STW</t>
  </si>
  <si>
    <t>Measham STW</t>
  </si>
  <si>
    <t>Netherseal STW</t>
  </si>
  <si>
    <t>Norton-Juxta-Twycross STW</t>
  </si>
  <si>
    <t>Overseal WwTW</t>
  </si>
  <si>
    <t>Packington WwTW</t>
  </si>
  <si>
    <t>Smisby STW</t>
  </si>
  <si>
    <t>Snarestone STW</t>
  </si>
  <si>
    <t>Nitrogen, Total as N (mg/l)</t>
  </si>
  <si>
    <r>
      <rPr>
        <b/>
        <i/>
        <sz val="8"/>
        <color theme="2" tint="-0.249977111117893"/>
        <rFont val="Calibri"/>
        <family val="2"/>
        <scheme val="minor"/>
      </rPr>
      <t>Image Source:</t>
    </r>
    <r>
      <rPr>
        <i/>
        <sz val="8"/>
        <color theme="2" tint="-0.249977111117893"/>
        <rFont val="Calibri"/>
        <family val="2"/>
        <scheme val="minor"/>
      </rPr>
      <t xml:space="preserve">
John Poyser
The River Mease</t>
    </r>
    <r>
      <rPr>
        <sz val="8"/>
        <color theme="2" tint="-0.249977111117893"/>
        <rFont val="Calibri"/>
        <family val="2"/>
        <scheme val="minor"/>
      </rPr>
      <t xml:space="preserve">
Copyright: © John Poyser 2007</t>
    </r>
  </si>
  <si>
    <t xml:space="preserve">The first step in an HRA involving nutrient neutrality is understanding both whether a residential development will need mitigation to achieve nutrient neutrality and, if so, the amount of nutrients that require mitigating on an annual basis.  In order to understand the amount of nutrients a new residential development will create, a nutrient budget for the development is required.  </t>
  </si>
  <si>
    <t>1. General tips:</t>
  </si>
  <si>
    <t>2. Stage specific instructions:</t>
  </si>
  <si>
    <t>The average occupancy rate of the development will need to be entered. The default setting is the national occupancy rate of 2.4 people per dwelling/unit. Only change this value if there is sufficient evidence that the development will be different to the national average.</t>
  </si>
  <si>
    <t>The number of dwellings/units that will be in the development at the time of completion.</t>
  </si>
  <si>
    <t>3. Site specific data collection instructions:</t>
  </si>
  <si>
    <t xml:space="preserve">a) Go to this link:  </t>
  </si>
  <si>
    <t xml:space="preserve">a) Go to this link:   </t>
  </si>
  <si>
    <t>a) Go to this link:</t>
  </si>
  <si>
    <r>
      <t xml:space="preserve">Development Proposal </t>
    </r>
    <r>
      <rPr>
        <sz val="11"/>
        <rFont val="Arial"/>
        <family val="2"/>
      </rPr>
      <t>(dwellings/units)</t>
    </r>
    <r>
      <rPr>
        <b/>
        <sz val="11"/>
        <rFont val="Arial"/>
        <family val="2"/>
      </rPr>
      <t>:</t>
    </r>
  </si>
  <si>
    <t>The receiving WwTW that the development will drain to. If it is uncertain what WwTW the site will drain to, please find this information from your sewerage company before completing the calculator. If it is not feasable to connect to a WwTW and a septic tank or package treatment plant is being used, please select this option. Please be aware that if the total phosphorus (TP) final effluent concentrations (in mg/l) are specified by the manufacturer, please select 'Septic Tank user defined' or 'Package Treatment Plant user defined' and enter the manufacturer specified value in the cell where prompted.</t>
  </si>
  <si>
    <t>Mease|Horticulture|TRUE|600to700|FreeDrain</t>
  </si>
  <si>
    <t>Mease|Horticulture|TRUE|600to700|DrainedAr</t>
  </si>
  <si>
    <t>Mease|Horticulture|TRUE|600to700|DrainedArGr</t>
  </si>
  <si>
    <t xml:space="preserve">There have been a series of court cases in recent years relating to how new plans or projects interact with the Habitats Regulations process where there are existing high levels of background nutrients. These decisions have led Natural England to review its advice on water quality effects on Habitats sites.  </t>
  </si>
  <si>
    <t xml:space="preserve">The additional nutrient load from the increase in wastewater and/or the change in the land use of the development land created by a new residential development can create an impact pathway for potential negative effects on Habitats sites that are already suffering from problems related to nutrient loading. This impact pathway is shown diagrammatically in Figure 1.  </t>
  </si>
  <si>
    <t xml:space="preserve">Habitats Regulations Assessments (HRAs) of new residential developments need to consider whether nutrient loading will result in ‘Likely Significant Effects’ (LSE) on a Habitats site.  If an HRA finds LSE due to nutrient loading,  the Appropriate Assessment will need to consider whether this nutrient load needs to be mitigated in order to remove adverse effects on the Habitats site.  </t>
  </si>
  <si>
    <r>
      <t>This tool provides a step-by-step approach to calculating the nutrient budget for a new residential development.  Before a nutrient budget can be completed using the methodology, certain site-specific details for the Habitats Site in question need to be determined.  The required details for each stage of the nutrient budget methodology are shown in the instructions tab, with an associated guidance document that informs users of this calculator how to generate certain inputs to the calculator.</t>
    </r>
    <r>
      <rPr>
        <sz val="12"/>
        <color rgb="FF000000"/>
        <rFont val="Arial"/>
        <family val="2"/>
      </rPr>
      <t xml:space="preserve"> </t>
    </r>
  </si>
  <si>
    <t>The River Mease SAC is a Habitats site with water pollution and eutrophication considered a threat to its condition.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</si>
</sst>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name val="Calibri"/>
      <family val="2"/>
      <scheme val="minor"/>
    </font>
    <font>
      <u/>
      <sz val="11"/>
      <color theme="10"/>
      <name val="Calibri"/>
      <family val="2"/>
      <scheme val="minor"/>
    </font>
    <font>
      <sz val="11"/>
      <color theme="1"/>
      <name val="Gill Sans MT"/>
      <family val="2"/>
    </font>
    <font>
      <b/>
      <sz val="11"/>
      <color theme="0"/>
      <name val="Gill Sans MT"/>
      <family val="2"/>
    </font>
    <font>
      <b/>
      <sz val="11"/>
      <color theme="1"/>
      <name val="Gill Sans MT"/>
      <family val="2"/>
    </font>
    <font>
      <b/>
      <sz val="11"/>
      <color theme="1"/>
      <name val="Calibri"/>
      <family val="2"/>
      <scheme val="minor"/>
    </font>
    <font>
      <sz val="11"/>
      <name val="Gill Sans MT"/>
      <family val="2"/>
    </font>
    <font>
      <b/>
      <sz val="11"/>
      <color theme="1"/>
      <name val="Arial"/>
      <family val="2"/>
    </font>
    <font>
      <b/>
      <sz val="11"/>
      <name val="Arial"/>
      <family val="2"/>
    </font>
    <font>
      <sz val="11"/>
      <name val="Arial"/>
      <family val="2"/>
    </font>
    <font>
      <sz val="11"/>
      <color theme="0"/>
      <name val="Gill Sans MT"/>
      <family val="2"/>
    </font>
    <font>
      <sz val="11"/>
      <color theme="1"/>
      <name val="Arial"/>
      <family val="2"/>
    </font>
    <font>
      <sz val="11"/>
      <color rgb="FF000000"/>
      <name val="Arial"/>
      <family val="2"/>
    </font>
    <font>
      <i/>
      <sz val="11"/>
      <color theme="1"/>
      <name val="Arial"/>
      <family val="2"/>
    </font>
    <font>
      <sz val="11"/>
      <color theme="1" tint="4.9989318521683403E-2"/>
      <name val="Arial"/>
      <family val="2"/>
    </font>
    <font>
      <b/>
      <sz val="11"/>
      <name val="Calibri"/>
      <family val="2"/>
      <scheme val="minor"/>
    </font>
    <font>
      <b/>
      <sz val="12"/>
      <color theme="1"/>
      <name val="Arial"/>
      <family val="2"/>
    </font>
    <font>
      <u/>
      <sz val="11"/>
      <color theme="10"/>
      <name val="Segoe UI"/>
      <family val="2"/>
    </font>
    <font>
      <sz val="11"/>
      <color rgb="FF242424"/>
      <name val="Segoe UI"/>
      <family val="2"/>
    </font>
    <font>
      <sz val="11"/>
      <color theme="1" tint="0.14999847407452621"/>
      <name val="Calibri"/>
      <family val="2"/>
      <scheme val="minor"/>
    </font>
    <font>
      <sz val="11"/>
      <color theme="0"/>
      <name val="Calibri"/>
      <family val="2"/>
      <scheme val="minor"/>
    </font>
    <font>
      <b/>
      <sz val="14"/>
      <color theme="1"/>
      <name val="Arial"/>
      <family val="2"/>
    </font>
    <font>
      <b/>
      <sz val="11"/>
      <color theme="1"/>
      <name val="Century Gothic"/>
      <family val="2"/>
    </font>
    <font>
      <sz val="11"/>
      <color theme="1" tint="0.14999847407452621"/>
      <name val="Arial"/>
      <family val="2"/>
    </font>
    <font>
      <b/>
      <sz val="11"/>
      <color theme="1" tint="0.14999847407452621"/>
      <name val="Arial"/>
      <family val="2"/>
    </font>
    <font>
      <sz val="12"/>
      <color theme="1"/>
      <name val="Century Gothic"/>
      <family val="2"/>
    </font>
    <font>
      <sz val="8"/>
      <color theme="2" tint="-0.249977111117893"/>
      <name val="Calibri"/>
      <family val="2"/>
      <scheme val="minor"/>
    </font>
    <font>
      <b/>
      <i/>
      <sz val="8"/>
      <color theme="2" tint="-0.249977111117893"/>
      <name val="Calibri"/>
      <family val="2"/>
      <scheme val="minor"/>
    </font>
    <font>
      <i/>
      <sz val="8"/>
      <color theme="2" tint="-0.249977111117893"/>
      <name val="Calibri"/>
      <family val="2"/>
      <scheme val="minor"/>
    </font>
    <font>
      <sz val="8"/>
      <name val="Calibri"/>
      <family val="2"/>
      <scheme val="minor"/>
    </font>
    <font>
      <b/>
      <u/>
      <sz val="14"/>
      <color rgb="FF000000"/>
      <name val="Arial"/>
      <family val="2"/>
    </font>
    <font>
      <b/>
      <sz val="11"/>
      <color rgb="FF000000"/>
      <name val="Arial"/>
      <family val="2"/>
    </font>
    <font>
      <u/>
      <sz val="11"/>
      <color theme="10"/>
      <name val="Arial"/>
      <family val="2"/>
    </font>
    <font>
      <b/>
      <sz val="18"/>
      <color theme="0"/>
      <name val="Century Gothic"/>
      <family val="2"/>
    </font>
    <font>
      <sz val="12"/>
      <color rgb="FF000000"/>
      <name val="Arial"/>
      <family val="2"/>
    </font>
    <font>
      <b/>
      <sz val="14"/>
      <color theme="1"/>
      <name val="Century Gothic"/>
      <family val="2"/>
    </font>
    <font>
      <b/>
      <sz val="24"/>
      <color theme="0"/>
      <name val="Century Gothic"/>
      <family val="2"/>
    </font>
    <font>
      <sz val="24"/>
      <color theme="0"/>
      <name val="Century Gothic"/>
      <family val="2"/>
    </font>
    <font>
      <sz val="11"/>
      <color theme="6" tint="0.79998168889431442"/>
      <name val="Calibri"/>
      <family val="2"/>
      <scheme val="minor"/>
    </font>
    <font>
      <sz val="11"/>
      <color theme="6" tint="0.79998168889431442"/>
      <name val="Gill Sans MT"/>
      <family val="2"/>
    </font>
    <font>
      <b/>
      <sz val="24"/>
      <color theme="0"/>
      <name val="Arial"/>
      <family val="2"/>
    </font>
  </fonts>
  <fills count="7">
    <fill>
      <patternFill patternType="none"/>
    </fill>
    <fill>
      <patternFill patternType="gray125"/>
    </fill>
    <fill>
      <patternFill patternType="solid">
        <fgColor theme="0"/>
        <bgColor indexed="64"/>
      </patternFill>
    </fill>
    <fill>
      <patternFill patternType="solid">
        <fgColor rgb="FF9DD3BE"/>
        <bgColor indexed="64"/>
      </patternFill>
    </fill>
    <fill>
      <patternFill patternType="solid">
        <fgColor rgb="FFF7E8BE"/>
        <bgColor indexed="64"/>
      </patternFill>
    </fill>
    <fill>
      <patternFill patternType="solid">
        <fgColor theme="6" tint="0.79998168889431442"/>
        <bgColor indexed="64"/>
      </patternFill>
    </fill>
    <fill>
      <patternFill patternType="solid">
        <fgColor rgb="FF449669"/>
        <bgColor indexed="64"/>
      </patternFill>
    </fill>
  </fills>
  <borders count="25">
    <border>
      <left/>
      <right/>
      <top/>
      <bottom/>
      <diagonal/>
    </border>
    <border>
      <left/>
      <right/>
      <top/>
      <bottom style="thick">
        <color rgb="FF449669"/>
      </bottom>
      <diagonal/>
    </border>
    <border>
      <left/>
      <right style="thick">
        <color rgb="FF449669"/>
      </right>
      <top/>
      <bottom/>
      <diagonal/>
    </border>
    <border>
      <left/>
      <right style="thick">
        <color rgb="FF449669"/>
      </right>
      <top/>
      <bottom style="thick">
        <color rgb="FF449669"/>
      </bottom>
      <diagonal/>
    </border>
    <border>
      <left/>
      <right/>
      <top style="thick">
        <color rgb="FF449669"/>
      </top>
      <bottom style="thick">
        <color rgb="FF449669"/>
      </bottom>
      <diagonal/>
    </border>
    <border>
      <left style="thick">
        <color rgb="FF449669"/>
      </left>
      <right style="thick">
        <color rgb="FF449669"/>
      </right>
      <top/>
      <bottom/>
      <diagonal/>
    </border>
    <border>
      <left style="thick">
        <color rgb="FF449669"/>
      </left>
      <right style="thick">
        <color rgb="FF449669"/>
      </right>
      <top/>
      <bottom style="thick">
        <color rgb="FF449669"/>
      </bottom>
      <diagonal/>
    </border>
    <border>
      <left/>
      <right/>
      <top style="thick">
        <color rgb="FF449669"/>
      </top>
      <bottom/>
      <diagonal/>
    </border>
    <border>
      <left style="thick">
        <color rgb="FF449669"/>
      </left>
      <right/>
      <top style="thick">
        <color rgb="FF449669"/>
      </top>
      <bottom/>
      <diagonal/>
    </border>
    <border>
      <left/>
      <right style="thick">
        <color rgb="FF449669"/>
      </right>
      <top style="thick">
        <color rgb="FF449669"/>
      </top>
      <bottom/>
      <diagonal/>
    </border>
    <border>
      <left style="thick">
        <color rgb="FF449669"/>
      </left>
      <right/>
      <top/>
      <bottom/>
      <diagonal/>
    </border>
    <border>
      <left style="thick">
        <color rgb="FF449669"/>
      </left>
      <right/>
      <top/>
      <bottom style="thick">
        <color rgb="FF449669"/>
      </bottom>
      <diagonal/>
    </border>
    <border>
      <left/>
      <right/>
      <top/>
      <bottom style="medium">
        <color rgb="FF449669"/>
      </bottom>
      <diagonal/>
    </border>
    <border>
      <left/>
      <right/>
      <top style="medium">
        <color rgb="FF449669"/>
      </top>
      <bottom/>
      <diagonal/>
    </border>
    <border>
      <left/>
      <right/>
      <top style="medium">
        <color rgb="FF449669"/>
      </top>
      <bottom style="medium">
        <color rgb="FF449669"/>
      </bottom>
      <diagonal/>
    </border>
    <border>
      <left/>
      <right style="medium">
        <color rgb="FF449669"/>
      </right>
      <top/>
      <bottom/>
      <diagonal/>
    </border>
    <border>
      <left style="medium">
        <color rgb="FF449669"/>
      </left>
      <right style="medium">
        <color rgb="FF449669"/>
      </right>
      <top/>
      <bottom/>
      <diagonal/>
    </border>
    <border>
      <left/>
      <right style="medium">
        <color rgb="FF449669"/>
      </right>
      <top/>
      <bottom style="medium">
        <color rgb="FF449669"/>
      </bottom>
      <diagonal/>
    </border>
    <border>
      <left style="medium">
        <color rgb="FF449669"/>
      </left>
      <right style="medium">
        <color rgb="FF449669"/>
      </right>
      <top/>
      <bottom style="medium">
        <color rgb="FF449669"/>
      </bottom>
      <diagonal/>
    </border>
    <border>
      <left/>
      <right style="medium">
        <color rgb="FF449669"/>
      </right>
      <top style="medium">
        <color rgb="FF449669"/>
      </top>
      <bottom/>
      <diagonal/>
    </border>
    <border>
      <left style="medium">
        <color rgb="FF449669"/>
      </left>
      <right/>
      <top/>
      <bottom/>
      <diagonal/>
    </border>
    <border>
      <left style="medium">
        <color rgb="FF449669"/>
      </left>
      <right style="medium">
        <color rgb="FF449669"/>
      </right>
      <top style="medium">
        <color rgb="FF449669"/>
      </top>
      <bottom/>
      <diagonal/>
    </border>
    <border>
      <left style="medium">
        <color rgb="FF449669"/>
      </left>
      <right/>
      <top/>
      <bottom style="medium">
        <color rgb="FF449669"/>
      </bottom>
      <diagonal/>
    </border>
    <border>
      <left style="medium">
        <color rgb="FF449669"/>
      </left>
      <right/>
      <top style="medium">
        <color rgb="FF449669"/>
      </top>
      <bottom/>
      <diagonal/>
    </border>
    <border>
      <left style="thick">
        <color rgb="FF449669"/>
      </left>
      <right style="thick">
        <color rgb="FF449669"/>
      </right>
      <top style="thick">
        <color rgb="FF449669"/>
      </top>
      <bottom/>
      <diagonal/>
    </border>
  </borders>
  <cellStyleXfs count="2">
    <xf numFmtId="0" fontId="0" fillId="0" borderId="0"/>
    <xf numFmtId="0" fontId="2" fillId="0" borderId="0" applyNumberFormat="0" applyFill="0" applyBorder="0" applyAlignment="0" applyProtection="0"/>
  </cellStyleXfs>
  <cellXfs count="293">
    <xf numFmtId="0" fontId="0" fillId="0" borderId="0" xfId="0"/>
    <xf numFmtId="0" fontId="0" fillId="2" borderId="0" xfId="0" applyFill="1"/>
    <xf numFmtId="0" fontId="1" fillId="2" borderId="0" xfId="0" applyFont="1" applyFill="1"/>
    <xf numFmtId="0" fontId="3" fillId="2" borderId="0" xfId="0" applyFont="1" applyFill="1" applyBorder="1" applyAlignment="1">
      <alignment horizontal="left"/>
    </xf>
    <xf numFmtId="0" fontId="0" fillId="2" borderId="0" xfId="0" applyFill="1" applyBorder="1"/>
    <xf numFmtId="0" fontId="4" fillId="2" borderId="0" xfId="0" applyFont="1" applyFill="1" applyBorder="1" applyAlignment="1">
      <alignment horizontal="left"/>
    </xf>
    <xf numFmtId="0" fontId="5" fillId="2" borderId="0" xfId="0" applyFont="1" applyFill="1" applyBorder="1" applyAlignment="1">
      <alignment horizontal="left"/>
    </xf>
    <xf numFmtId="14" fontId="3" fillId="2" borderId="0" xfId="0" applyNumberFormat="1" applyFont="1" applyFill="1" applyBorder="1" applyAlignment="1">
      <alignment vertical="center" wrapText="1"/>
    </xf>
    <xf numFmtId="0" fontId="3" fillId="2" borderId="0" xfId="0" applyFont="1" applyFill="1" applyBorder="1" applyAlignment="1">
      <alignment vertical="center"/>
    </xf>
    <xf numFmtId="0" fontId="3" fillId="2" borderId="0" xfId="0" applyFont="1" applyFill="1" applyBorder="1" applyAlignment="1">
      <alignment vertical="center" wrapText="1"/>
    </xf>
    <xf numFmtId="0" fontId="3" fillId="2" borderId="0" xfId="0" applyFont="1" applyFill="1" applyBorder="1" applyAlignment="1">
      <alignment horizontal="left" vertical="center"/>
    </xf>
    <xf numFmtId="0" fontId="5" fillId="2" borderId="0" xfId="0" applyFont="1" applyFill="1" applyBorder="1" applyAlignment="1">
      <alignment horizontal="left" vertical="center"/>
    </xf>
    <xf numFmtId="0" fontId="3" fillId="2" borderId="0" xfId="0" applyFont="1" applyFill="1" applyBorder="1" applyAlignment="1">
      <alignment horizontal="center" vertical="center"/>
    </xf>
    <xf numFmtId="2" fontId="3" fillId="2" borderId="0" xfId="0" applyNumberFormat="1" applyFont="1" applyFill="1" applyBorder="1" applyAlignment="1">
      <alignment horizontal="center" vertical="center"/>
    </xf>
    <xf numFmtId="2" fontId="5" fillId="2" borderId="0" xfId="0" applyNumberFormat="1" applyFont="1" applyFill="1" applyBorder="1" applyAlignment="1">
      <alignment horizontal="center" vertical="center"/>
    </xf>
    <xf numFmtId="0" fontId="8" fillId="2" borderId="1" xfId="0" applyFont="1" applyFill="1" applyBorder="1"/>
    <xf numFmtId="0" fontId="9" fillId="2" borderId="0"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7" xfId="0" applyFont="1" applyFill="1" applyBorder="1" applyAlignment="1">
      <alignment horizontal="left" vertical="center" wrapText="1"/>
    </xf>
    <xf numFmtId="2" fontId="12" fillId="2" borderId="0" xfId="0" applyNumberFormat="1" applyFont="1" applyFill="1" applyBorder="1" applyAlignment="1">
      <alignment horizontal="center" vertical="center"/>
    </xf>
    <xf numFmtId="0" fontId="8" fillId="2" borderId="0" xfId="0" applyFont="1" applyFill="1" applyBorder="1" applyAlignment="1">
      <alignment horizontal="left" vertical="center"/>
    </xf>
    <xf numFmtId="2" fontId="8" fillId="2" borderId="0" xfId="0" applyNumberFormat="1" applyFont="1" applyFill="1" applyBorder="1" applyAlignment="1">
      <alignment horizontal="center" vertical="center"/>
    </xf>
    <xf numFmtId="0" fontId="12" fillId="2" borderId="0" xfId="0" applyFont="1" applyFill="1"/>
    <xf numFmtId="2" fontId="12" fillId="4" borderId="1" xfId="0" applyNumberFormat="1" applyFont="1" applyFill="1" applyBorder="1" applyAlignment="1">
      <alignment horizontal="left" vertical="center" wrapText="1"/>
    </xf>
    <xf numFmtId="14" fontId="12" fillId="2" borderId="0" xfId="0" applyNumberFormat="1" applyFont="1" applyFill="1" applyBorder="1" applyAlignment="1">
      <alignment vertical="center" wrapText="1"/>
    </xf>
    <xf numFmtId="0" fontId="12" fillId="2" borderId="0" xfId="0" applyFont="1" applyFill="1" applyBorder="1" applyAlignment="1">
      <alignment vertical="center"/>
    </xf>
    <xf numFmtId="0" fontId="12" fillId="2" borderId="0" xfId="0" applyFont="1" applyFill="1" applyBorder="1" applyAlignment="1">
      <alignment vertical="center" wrapText="1"/>
    </xf>
    <xf numFmtId="0" fontId="12" fillId="2" borderId="0" xfId="0" applyFont="1" applyFill="1" applyBorder="1" applyAlignment="1">
      <alignment horizontal="left" vertical="center"/>
    </xf>
    <xf numFmtId="2" fontId="12" fillId="2" borderId="0" xfId="0" applyNumberFormat="1" applyFont="1" applyFill="1" applyBorder="1" applyAlignment="1">
      <alignment horizontal="left" vertical="center"/>
    </xf>
    <xf numFmtId="0" fontId="12" fillId="2" borderId="0" xfId="0" applyFont="1" applyFill="1" applyBorder="1"/>
    <xf numFmtId="0" fontId="10" fillId="2" borderId="0" xfId="0" applyFont="1" applyFill="1" applyBorder="1" applyAlignment="1">
      <alignment horizontal="left" vertical="center"/>
    </xf>
    <xf numFmtId="0" fontId="9" fillId="2" borderId="0" xfId="0" applyFont="1" applyFill="1" applyBorder="1" applyAlignment="1">
      <alignment horizontal="left" vertical="center" wrapText="1"/>
    </xf>
    <xf numFmtId="0" fontId="12" fillId="5" borderId="0" xfId="0" applyFont="1" applyFill="1"/>
    <xf numFmtId="0" fontId="9" fillId="5" borderId="6" xfId="0" applyFont="1" applyFill="1" applyBorder="1" applyAlignment="1">
      <alignment horizontal="left" vertical="center"/>
    </xf>
    <xf numFmtId="0" fontId="9" fillId="5" borderId="3" xfId="0" applyFont="1" applyFill="1" applyBorder="1" applyAlignment="1">
      <alignment horizontal="left" vertical="center"/>
    </xf>
    <xf numFmtId="0" fontId="9" fillId="5" borderId="3" xfId="0" applyFont="1" applyFill="1" applyBorder="1" applyAlignment="1">
      <alignment horizontal="left" vertical="center" wrapText="1"/>
    </xf>
    <xf numFmtId="0" fontId="12" fillId="5" borderId="2" xfId="0" applyFont="1" applyFill="1" applyBorder="1" applyAlignment="1">
      <alignment horizontal="left" vertical="center"/>
    </xf>
    <xf numFmtId="2" fontId="12" fillId="5" borderId="0" xfId="0" applyNumberFormat="1" applyFont="1" applyFill="1" applyBorder="1" applyAlignment="1">
      <alignment horizontal="left" vertical="center"/>
    </xf>
    <xf numFmtId="0" fontId="8" fillId="5" borderId="1" xfId="0" applyFont="1" applyFill="1" applyBorder="1" applyAlignment="1">
      <alignment horizontal="left" vertical="center"/>
    </xf>
    <xf numFmtId="0" fontId="12" fillId="5" borderId="7" xfId="0" applyFont="1" applyFill="1" applyBorder="1" applyAlignment="1">
      <alignment horizontal="left" vertical="center"/>
    </xf>
    <xf numFmtId="0" fontId="12" fillId="5" borderId="0" xfId="0" applyFont="1" applyFill="1" applyBorder="1" applyAlignment="1">
      <alignment horizontal="left" vertical="center"/>
    </xf>
    <xf numFmtId="0" fontId="13" fillId="5" borderId="0" xfId="0" applyFont="1" applyFill="1" applyBorder="1" applyAlignment="1">
      <alignment horizontal="left" vertical="center"/>
    </xf>
    <xf numFmtId="0" fontId="12" fillId="5" borderId="0" xfId="0" applyFont="1" applyFill="1" applyBorder="1"/>
    <xf numFmtId="0" fontId="9" fillId="5" borderId="11" xfId="0" applyFont="1" applyFill="1" applyBorder="1" applyAlignment="1">
      <alignment horizontal="left" vertical="center" wrapText="1"/>
    </xf>
    <xf numFmtId="0" fontId="12" fillId="5" borderId="10" xfId="0" applyFont="1" applyFill="1" applyBorder="1" applyAlignment="1">
      <alignment horizontal="left" vertical="center"/>
    </xf>
    <xf numFmtId="0" fontId="9" fillId="5" borderId="11" xfId="0" applyFont="1" applyFill="1" applyBorder="1" applyAlignment="1">
      <alignment horizontal="left" vertical="center"/>
    </xf>
    <xf numFmtId="49" fontId="12" fillId="5" borderId="2" xfId="0" applyNumberFormat="1" applyFont="1" applyFill="1" applyBorder="1" applyAlignment="1">
      <alignment horizontal="left" vertical="center"/>
    </xf>
    <xf numFmtId="0" fontId="12" fillId="5" borderId="5" xfId="0" applyFont="1" applyFill="1" applyBorder="1" applyAlignment="1">
      <alignment horizontal="left" vertical="center"/>
    </xf>
    <xf numFmtId="0" fontId="9" fillId="5" borderId="6" xfId="0" applyFont="1" applyFill="1" applyBorder="1" applyAlignment="1">
      <alignment horizontal="left" vertical="center" wrapText="1"/>
    </xf>
    <xf numFmtId="0" fontId="10" fillId="5" borderId="2" xfId="0" applyFont="1" applyFill="1" applyBorder="1" applyAlignment="1">
      <alignment horizontal="left" vertical="center"/>
    </xf>
    <xf numFmtId="0" fontId="10" fillId="5" borderId="5" xfId="0" applyFont="1" applyFill="1" applyBorder="1" applyAlignment="1">
      <alignment horizontal="left" vertical="center"/>
    </xf>
    <xf numFmtId="2" fontId="10" fillId="4" borderId="1" xfId="0" applyNumberFormat="1" applyFont="1" applyFill="1" applyBorder="1" applyAlignment="1">
      <alignment horizontal="left" vertical="center"/>
    </xf>
    <xf numFmtId="2" fontId="12" fillId="4" borderId="4" xfId="0" applyNumberFormat="1" applyFont="1" applyFill="1" applyBorder="1" applyAlignment="1">
      <alignment horizontal="left" vertical="center"/>
    </xf>
    <xf numFmtId="2" fontId="12" fillId="4" borderId="7" xfId="0" applyNumberFormat="1" applyFont="1" applyFill="1" applyBorder="1" applyAlignment="1">
      <alignment horizontal="left" vertical="center" wrapText="1"/>
    </xf>
    <xf numFmtId="2" fontId="8" fillId="2" borderId="0" xfId="0" applyNumberFormat="1" applyFont="1" applyFill="1" applyAlignment="1">
      <alignment vertical="center"/>
    </xf>
    <xf numFmtId="0" fontId="16" fillId="2" borderId="0" xfId="0" applyFont="1" applyFill="1" applyBorder="1" applyAlignment="1">
      <alignment horizontal="left" vertical="center" wrapText="1"/>
    </xf>
    <xf numFmtId="0" fontId="12" fillId="4" borderId="0" xfId="0" applyFont="1" applyFill="1" applyBorder="1" applyAlignment="1">
      <alignment horizontal="center" vertical="center"/>
    </xf>
    <xf numFmtId="0" fontId="12" fillId="2" borderId="12" xfId="0" applyFont="1" applyFill="1" applyBorder="1" applyAlignment="1">
      <alignment horizontal="left" vertical="center"/>
    </xf>
    <xf numFmtId="0" fontId="12" fillId="4" borderId="12" xfId="0" applyFont="1" applyFill="1" applyBorder="1" applyAlignment="1">
      <alignment horizontal="center" vertical="center"/>
    </xf>
    <xf numFmtId="0" fontId="12" fillId="2" borderId="13" xfId="0" applyFont="1" applyFill="1" applyBorder="1" applyAlignment="1">
      <alignment horizontal="left" vertical="center"/>
    </xf>
    <xf numFmtId="0" fontId="8" fillId="2" borderId="13" xfId="0" applyFont="1" applyFill="1" applyBorder="1" applyAlignment="1">
      <alignment horizontal="left" vertical="center"/>
    </xf>
    <xf numFmtId="2" fontId="12" fillId="4" borderId="13" xfId="0" applyNumberFormat="1" applyFont="1" applyFill="1" applyBorder="1" applyAlignment="1">
      <alignment horizontal="center" vertical="center"/>
    </xf>
    <xf numFmtId="2" fontId="8" fillId="4" borderId="13" xfId="0" applyNumberFormat="1" applyFont="1" applyFill="1" applyBorder="1" applyAlignment="1">
      <alignment horizontal="center" vertical="center"/>
    </xf>
    <xf numFmtId="0" fontId="12" fillId="2" borderId="14" xfId="0" applyFont="1" applyFill="1" applyBorder="1" applyAlignment="1">
      <alignment horizontal="left" vertical="center"/>
    </xf>
    <xf numFmtId="0" fontId="12" fillId="4" borderId="14" xfId="0" applyFont="1" applyFill="1" applyBorder="1" applyAlignment="1">
      <alignment horizontal="center" vertical="center"/>
    </xf>
    <xf numFmtId="2" fontId="12" fillId="4" borderId="14" xfId="0" applyNumberFormat="1" applyFont="1" applyFill="1" applyBorder="1" applyAlignment="1">
      <alignment horizontal="center" vertical="center"/>
    </xf>
    <xf numFmtId="0" fontId="9" fillId="2" borderId="13"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8" fillId="2" borderId="12" xfId="0" applyFont="1" applyFill="1" applyBorder="1"/>
    <xf numFmtId="0" fontId="9" fillId="2" borderId="14"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8" fillId="2" borderId="15" xfId="0" applyFont="1" applyFill="1" applyBorder="1" applyAlignment="1">
      <alignment horizontal="right"/>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19" xfId="0" applyFont="1" applyFill="1" applyBorder="1" applyAlignment="1">
      <alignment horizontal="right"/>
    </xf>
    <xf numFmtId="0" fontId="8" fillId="2" borderId="17" xfId="0" applyFont="1" applyFill="1" applyBorder="1" applyAlignment="1">
      <alignment horizontal="left" vertical="center"/>
    </xf>
    <xf numFmtId="2" fontId="8" fillId="4" borderId="0" xfId="0" applyNumberFormat="1" applyFont="1" applyFill="1" applyBorder="1" applyAlignment="1">
      <alignment horizontal="left"/>
    </xf>
    <xf numFmtId="2" fontId="8" fillId="4" borderId="12" xfId="0" applyNumberFormat="1" applyFont="1" applyFill="1" applyBorder="1" applyAlignment="1">
      <alignment horizontal="left"/>
    </xf>
    <xf numFmtId="0" fontId="12" fillId="4" borderId="0" xfId="0" applyFont="1" applyFill="1" applyBorder="1" applyAlignment="1">
      <alignment horizontal="center" vertical="center" wrapText="1"/>
    </xf>
    <xf numFmtId="0" fontId="22" fillId="2" borderId="0" xfId="0" applyFont="1" applyFill="1" applyBorder="1" applyAlignment="1">
      <alignment vertical="center" wrapText="1"/>
    </xf>
    <xf numFmtId="14" fontId="8" fillId="2" borderId="0" xfId="0" applyNumberFormat="1" applyFont="1" applyFill="1" applyBorder="1" applyAlignment="1">
      <alignment vertical="center" wrapText="1"/>
    </xf>
    <xf numFmtId="0" fontId="8" fillId="2" borderId="0" xfId="0" applyFont="1" applyFill="1" applyBorder="1" applyAlignment="1">
      <alignment vertical="center" wrapText="1"/>
    </xf>
    <xf numFmtId="0" fontId="7" fillId="2" borderId="0" xfId="0" applyFont="1" applyFill="1" applyBorder="1" applyAlignment="1">
      <alignment horizontal="center" vertical="center" wrapText="1"/>
    </xf>
    <xf numFmtId="0" fontId="0" fillId="2" borderId="0" xfId="0" applyFill="1" applyAlignment="1">
      <alignment horizontal="left"/>
    </xf>
    <xf numFmtId="2" fontId="8" fillId="2" borderId="0" xfId="0" applyNumberFormat="1" applyFont="1" applyFill="1" applyBorder="1" applyAlignment="1">
      <alignment horizontal="left" vertical="center"/>
    </xf>
    <xf numFmtId="2" fontId="12" fillId="4" borderId="12" xfId="0" applyNumberFormat="1" applyFont="1" applyFill="1" applyBorder="1" applyAlignment="1">
      <alignment horizontal="center" vertical="center"/>
    </xf>
    <xf numFmtId="0" fontId="20" fillId="2" borderId="0" xfId="0" applyFont="1" applyFill="1" applyBorder="1"/>
    <xf numFmtId="0" fontId="20" fillId="2" borderId="0" xfId="0" applyFont="1" applyFill="1" applyBorder="1" applyAlignment="1">
      <alignment horizontal="left"/>
    </xf>
    <xf numFmtId="0" fontId="24" fillId="2" borderId="0" xfId="0" applyFont="1" applyFill="1" applyBorder="1" applyAlignment="1">
      <alignment horizontal="left" vertical="center"/>
    </xf>
    <xf numFmtId="2" fontId="24" fillId="2" borderId="0" xfId="0" applyNumberFormat="1" applyFont="1" applyFill="1" applyBorder="1" applyAlignment="1">
      <alignment horizontal="left" vertical="center"/>
    </xf>
    <xf numFmtId="0" fontId="25" fillId="2" borderId="0" xfId="0" applyFont="1" applyFill="1" applyBorder="1" applyAlignment="1">
      <alignment horizontal="left" vertical="center"/>
    </xf>
    <xf numFmtId="2" fontId="25" fillId="2" borderId="0" xfId="0" applyNumberFormat="1" applyFont="1" applyFill="1" applyBorder="1" applyAlignment="1">
      <alignment horizontal="left" vertical="center"/>
    </xf>
    <xf numFmtId="0" fontId="24" fillId="2" borderId="0" xfId="0" applyFont="1" applyFill="1" applyBorder="1" applyAlignment="1">
      <alignment horizontal="center" vertical="center"/>
    </xf>
    <xf numFmtId="2" fontId="24" fillId="2" borderId="0" xfId="0" applyNumberFormat="1" applyFont="1" applyFill="1" applyBorder="1" applyAlignment="1">
      <alignment horizontal="center" vertical="center"/>
    </xf>
    <xf numFmtId="2" fontId="25" fillId="2" borderId="0" xfId="0" applyNumberFormat="1" applyFont="1" applyFill="1" applyBorder="1" applyAlignment="1">
      <alignment horizontal="center" vertical="center"/>
    </xf>
    <xf numFmtId="2" fontId="10" fillId="4" borderId="12" xfId="0" applyNumberFormat="1" applyFont="1" applyFill="1" applyBorder="1" applyAlignment="1">
      <alignment horizontal="center" vertical="center"/>
    </xf>
    <xf numFmtId="2" fontId="12" fillId="4" borderId="14" xfId="0" quotePrefix="1" applyNumberFormat="1" applyFont="1" applyFill="1" applyBorder="1" applyAlignment="1">
      <alignment horizontal="center" vertical="center" wrapText="1"/>
    </xf>
    <xf numFmtId="2" fontId="12" fillId="4" borderId="0" xfId="0" applyNumberFormat="1" applyFont="1" applyFill="1" applyBorder="1" applyAlignment="1">
      <alignment horizontal="center" vertical="center" wrapText="1"/>
    </xf>
    <xf numFmtId="2" fontId="12" fillId="4" borderId="14" xfId="0" applyNumberFormat="1" applyFont="1" applyFill="1" applyBorder="1" applyAlignment="1">
      <alignment horizontal="center" vertical="center" wrapText="1"/>
    </xf>
    <xf numFmtId="2" fontId="8" fillId="2" borderId="0" xfId="0" applyNumberFormat="1" applyFont="1" applyFill="1" applyBorder="1" applyAlignment="1">
      <alignment vertical="center"/>
    </xf>
    <xf numFmtId="0" fontId="8" fillId="4" borderId="16" xfId="0" applyFont="1" applyFill="1" applyBorder="1" applyAlignment="1">
      <alignment horizontal="right"/>
    </xf>
    <xf numFmtId="2" fontId="8" fillId="4" borderId="0" xfId="0" applyNumberFormat="1" applyFont="1" applyFill="1" applyAlignment="1">
      <alignment horizontal="right"/>
    </xf>
    <xf numFmtId="0" fontId="27" fillId="2" borderId="0" xfId="0" applyFont="1" applyFill="1" applyAlignment="1">
      <alignment wrapText="1"/>
    </xf>
    <xf numFmtId="14" fontId="15" fillId="3" borderId="12" xfId="0" applyNumberFormat="1" applyFont="1" applyFill="1" applyBorder="1" applyAlignment="1" applyProtection="1">
      <alignment horizontal="left" vertical="center"/>
      <protection locked="0"/>
    </xf>
    <xf numFmtId="2" fontId="15" fillId="3" borderId="14" xfId="0" applyNumberFormat="1" applyFont="1" applyFill="1" applyBorder="1" applyAlignment="1" applyProtection="1">
      <alignment horizontal="left" vertical="center" wrapText="1"/>
      <protection locked="0"/>
    </xf>
    <xf numFmtId="0" fontId="15" fillId="3" borderId="14" xfId="0" applyFont="1" applyFill="1" applyBorder="1" applyAlignment="1" applyProtection="1">
      <alignment horizontal="left" vertical="center"/>
      <protection locked="0"/>
    </xf>
    <xf numFmtId="0" fontId="15" fillId="3" borderId="0" xfId="0" applyFont="1" applyFill="1" applyBorder="1" applyAlignment="1" applyProtection="1">
      <alignment horizontal="left" vertical="center"/>
      <protection locked="0"/>
    </xf>
    <xf numFmtId="0" fontId="12" fillId="3" borderId="15" xfId="0" applyFont="1" applyFill="1" applyBorder="1" applyAlignment="1" applyProtection="1">
      <alignment horizontal="left"/>
      <protection locked="0"/>
    </xf>
    <xf numFmtId="2" fontId="12" fillId="3" borderId="16" xfId="0" applyNumberFormat="1" applyFont="1" applyFill="1" applyBorder="1" applyAlignment="1" applyProtection="1">
      <alignment horizontal="left"/>
      <protection locked="0"/>
    </xf>
    <xf numFmtId="2" fontId="12" fillId="3" borderId="18" xfId="0" applyNumberFormat="1" applyFont="1" applyFill="1" applyBorder="1" applyAlignment="1" applyProtection="1">
      <alignment horizontal="left"/>
      <protection locked="0"/>
    </xf>
    <xf numFmtId="14" fontId="10" fillId="3" borderId="12" xfId="0" applyNumberFormat="1" applyFont="1" applyFill="1" applyBorder="1" applyAlignment="1" applyProtection="1">
      <alignment horizontal="center" vertical="center"/>
      <protection locked="0"/>
    </xf>
    <xf numFmtId="2" fontId="12" fillId="3" borderId="12" xfId="0" applyNumberFormat="1" applyFont="1" applyFill="1" applyBorder="1" applyAlignment="1" applyProtection="1">
      <alignment horizontal="center" vertical="center" wrapText="1"/>
      <protection locked="0"/>
    </xf>
    <xf numFmtId="0" fontId="12" fillId="3" borderId="12" xfId="0" applyFont="1" applyFill="1" applyBorder="1" applyAlignment="1" applyProtection="1">
      <alignment horizontal="center" vertical="center"/>
      <protection locked="0"/>
    </xf>
    <xf numFmtId="0" fontId="12" fillId="3" borderId="12" xfId="0" applyFont="1" applyFill="1" applyBorder="1" applyAlignment="1" applyProtection="1">
      <alignment horizontal="center" vertical="center" wrapText="1"/>
      <protection locked="0"/>
    </xf>
    <xf numFmtId="0" fontId="12" fillId="3" borderId="14" xfId="0" applyFont="1" applyFill="1" applyBorder="1" applyAlignment="1" applyProtection="1">
      <alignment horizontal="center" vertical="center" wrapText="1"/>
      <protection locked="0"/>
    </xf>
    <xf numFmtId="0" fontId="7" fillId="2" borderId="0" xfId="0" applyFont="1" applyFill="1" applyBorder="1" applyAlignment="1" applyProtection="1">
      <alignment vertical="center" wrapText="1"/>
      <protection locked="0"/>
    </xf>
    <xf numFmtId="0" fontId="12" fillId="3" borderId="17" xfId="0" applyFont="1" applyFill="1" applyBorder="1" applyAlignment="1" applyProtection="1">
      <alignment horizontal="left"/>
      <protection locked="0"/>
    </xf>
    <xf numFmtId="2" fontId="12" fillId="4" borderId="12" xfId="0" applyNumberFormat="1" applyFont="1" applyFill="1" applyBorder="1" applyAlignment="1">
      <alignment horizontal="left"/>
    </xf>
    <xf numFmtId="0" fontId="9" fillId="2" borderId="0"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0" fillId="2" borderId="2" xfId="0" applyFill="1" applyBorder="1"/>
    <xf numFmtId="0" fontId="0" fillId="2" borderId="8" xfId="0" applyFill="1" applyBorder="1" applyAlignment="1">
      <alignment horizontal="left" vertical="top" indent="2"/>
    </xf>
    <xf numFmtId="0" fontId="0" fillId="2" borderId="7" xfId="0" applyFill="1" applyBorder="1" applyAlignment="1">
      <alignment horizontal="left" vertical="top" indent="2"/>
    </xf>
    <xf numFmtId="0" fontId="0" fillId="2" borderId="10" xfId="0" applyFill="1" applyBorder="1" applyAlignment="1">
      <alignment horizontal="left" vertical="top" indent="2"/>
    </xf>
    <xf numFmtId="0" fontId="31" fillId="0" borderId="0" xfId="0" applyFont="1" applyAlignment="1">
      <alignment horizontal="left" vertical="top" indent="2"/>
    </xf>
    <xf numFmtId="0" fontId="12" fillId="2" borderId="11" xfId="0" applyFont="1" applyFill="1" applyBorder="1" applyAlignment="1">
      <alignment horizontal="left" vertical="top" indent="2"/>
    </xf>
    <xf numFmtId="0" fontId="12" fillId="2" borderId="1" xfId="0" applyFont="1" applyFill="1" applyBorder="1" applyAlignment="1">
      <alignment horizontal="left" vertical="top" indent="2"/>
    </xf>
    <xf numFmtId="0" fontId="8" fillId="2" borderId="10" xfId="0" applyFont="1" applyFill="1" applyBorder="1" applyAlignment="1">
      <alignment horizontal="left" vertical="top" indent="2"/>
    </xf>
    <xf numFmtId="0" fontId="31" fillId="0" borderId="0" xfId="0" applyFont="1" applyAlignment="1">
      <alignment horizontal="left" vertical="center" indent="2"/>
    </xf>
    <xf numFmtId="0" fontId="32" fillId="0" borderId="0" xfId="0" applyFont="1" applyAlignment="1">
      <alignment horizontal="left" vertical="top"/>
    </xf>
    <xf numFmtId="2" fontId="12" fillId="5" borderId="5" xfId="0" applyNumberFormat="1" applyFont="1" applyFill="1" applyBorder="1" applyAlignment="1">
      <alignment horizontal="left" vertical="center"/>
    </xf>
    <xf numFmtId="0" fontId="9" fillId="5" borderId="1" xfId="0" applyFont="1" applyFill="1" applyBorder="1" applyAlignment="1">
      <alignment horizontal="left" vertical="center" wrapText="1"/>
    </xf>
    <xf numFmtId="0" fontId="0" fillId="2" borderId="10" xfId="0" applyFill="1" applyBorder="1"/>
    <xf numFmtId="0" fontId="12" fillId="2" borderId="10" xfId="0" applyFont="1" applyFill="1" applyBorder="1"/>
    <xf numFmtId="0" fontId="12" fillId="2" borderId="2" xfId="0" applyFont="1" applyFill="1" applyBorder="1"/>
    <xf numFmtId="0" fontId="0" fillId="2" borderId="1" xfId="0" applyFill="1" applyBorder="1"/>
    <xf numFmtId="0" fontId="0" fillId="2" borderId="3" xfId="0" applyFill="1" applyBorder="1"/>
    <xf numFmtId="0" fontId="0" fillId="2" borderId="9" xfId="0" applyFill="1" applyBorder="1"/>
    <xf numFmtId="0" fontId="0" fillId="5" borderId="0" xfId="0" applyFill="1"/>
    <xf numFmtId="0" fontId="0" fillId="5" borderId="2" xfId="0" applyFill="1" applyBorder="1"/>
    <xf numFmtId="0" fontId="12" fillId="5" borderId="7" xfId="0" applyFont="1" applyFill="1" applyBorder="1" applyAlignment="1">
      <alignment horizontal="left" vertical="top" indent="2"/>
    </xf>
    <xf numFmtId="0" fontId="0" fillId="5" borderId="7" xfId="0" applyFill="1" applyBorder="1"/>
    <xf numFmtId="0" fontId="0" fillId="5" borderId="0" xfId="0" applyFill="1" applyBorder="1"/>
    <xf numFmtId="0" fontId="18" fillId="5" borderId="0" xfId="1" applyFont="1" applyFill="1" applyBorder="1"/>
    <xf numFmtId="0" fontId="18" fillId="5" borderId="0" xfId="1" quotePrefix="1" applyFont="1" applyFill="1" applyBorder="1"/>
    <xf numFmtId="14" fontId="3" fillId="5" borderId="0" xfId="0" applyNumberFormat="1" applyFont="1" applyFill="1" applyBorder="1" applyAlignment="1">
      <alignment vertical="center" wrapText="1"/>
    </xf>
    <xf numFmtId="0" fontId="1" fillId="5" borderId="0" xfId="0" applyFont="1" applyFill="1" applyBorder="1"/>
    <xf numFmtId="0" fontId="3" fillId="5" borderId="0" xfId="0" applyFont="1" applyFill="1" applyBorder="1" applyAlignment="1">
      <alignment vertical="center"/>
    </xf>
    <xf numFmtId="0" fontId="3" fillId="5" borderId="0" xfId="0" applyFont="1" applyFill="1" applyBorder="1" applyAlignment="1">
      <alignment vertical="center" wrapText="1"/>
    </xf>
    <xf numFmtId="0" fontId="38" fillId="2" borderId="0" xfId="0" applyFont="1" applyFill="1" applyBorder="1" applyAlignment="1">
      <alignment horizontal="center" vertical="center"/>
    </xf>
    <xf numFmtId="0" fontId="3" fillId="2" borderId="2" xfId="0" applyFont="1" applyFill="1" applyBorder="1" applyAlignment="1">
      <alignment vertical="center"/>
    </xf>
    <xf numFmtId="14" fontId="3" fillId="2" borderId="2" xfId="0" applyNumberFormat="1" applyFont="1" applyFill="1" applyBorder="1" applyAlignment="1">
      <alignment vertical="center" wrapText="1"/>
    </xf>
    <xf numFmtId="0" fontId="3" fillId="2" borderId="2" xfId="0" applyFont="1" applyFill="1" applyBorder="1" applyAlignment="1">
      <alignment vertical="center" wrapText="1"/>
    </xf>
    <xf numFmtId="0" fontId="0" fillId="2" borderId="11" xfId="0" applyFill="1" applyBorder="1"/>
    <xf numFmtId="0" fontId="16" fillId="2" borderId="14" xfId="0" applyFont="1" applyFill="1" applyBorder="1" applyAlignment="1">
      <alignment vertical="center" wrapText="1"/>
    </xf>
    <xf numFmtId="0" fontId="16" fillId="2" borderId="0" xfId="0" applyFont="1" applyFill="1" applyBorder="1" applyAlignment="1">
      <alignment vertical="center" wrapText="1"/>
    </xf>
    <xf numFmtId="0" fontId="4" fillId="2" borderId="2" xfId="0" applyFont="1" applyFill="1" applyBorder="1" applyAlignment="1">
      <alignment horizontal="left"/>
    </xf>
    <xf numFmtId="0" fontId="3" fillId="2" borderId="2" xfId="0" applyFont="1" applyFill="1" applyBorder="1" applyAlignment="1">
      <alignment horizontal="left" vertical="center"/>
    </xf>
    <xf numFmtId="0" fontId="6" fillId="2" borderId="2" xfId="0" applyFont="1" applyFill="1" applyBorder="1"/>
    <xf numFmtId="0" fontId="19" fillId="0" borderId="2" xfId="0" applyFont="1" applyBorder="1"/>
    <xf numFmtId="0" fontId="20" fillId="2" borderId="2" xfId="0" applyFont="1" applyFill="1" applyBorder="1" applyAlignment="1"/>
    <xf numFmtId="0" fontId="20" fillId="2" borderId="2" xfId="0" applyFont="1" applyFill="1" applyBorder="1"/>
    <xf numFmtId="0" fontId="39" fillId="5" borderId="0" xfId="0" applyFont="1" applyFill="1"/>
    <xf numFmtId="0" fontId="39" fillId="5" borderId="0" xfId="0" applyFont="1" applyFill="1" applyBorder="1"/>
    <xf numFmtId="14" fontId="40" fillId="5" borderId="0" xfId="0" applyNumberFormat="1" applyFont="1" applyFill="1" applyBorder="1" applyAlignment="1">
      <alignment vertical="center" wrapText="1"/>
    </xf>
    <xf numFmtId="0" fontId="40" fillId="5" borderId="0" xfId="0" applyFont="1" applyFill="1" applyBorder="1" applyAlignment="1">
      <alignment vertical="center"/>
    </xf>
    <xf numFmtId="0" fontId="40" fillId="5" borderId="0" xfId="0" applyFont="1" applyFill="1" applyBorder="1" applyAlignment="1">
      <alignment vertical="center" wrapText="1"/>
    </xf>
    <xf numFmtId="0" fontId="39" fillId="5" borderId="2" xfId="0" applyFont="1" applyFill="1" applyBorder="1"/>
    <xf numFmtId="0" fontId="21" fillId="2" borderId="2" xfId="0" applyFont="1" applyFill="1" applyBorder="1"/>
    <xf numFmtId="0" fontId="21" fillId="5" borderId="0" xfId="0" applyFont="1" applyFill="1"/>
    <xf numFmtId="0" fontId="6" fillId="5" borderId="0" xfId="0" applyFont="1" applyFill="1"/>
    <xf numFmtId="0" fontId="5" fillId="2" borderId="2" xfId="0" applyFont="1" applyFill="1" applyBorder="1" applyAlignment="1">
      <alignment horizontal="left"/>
    </xf>
    <xf numFmtId="0" fontId="3" fillId="2" borderId="2" xfId="0" applyFont="1" applyFill="1" applyBorder="1" applyAlignment="1">
      <alignment horizontal="left"/>
    </xf>
    <xf numFmtId="0" fontId="12" fillId="2" borderId="0" xfId="0" applyFont="1" applyFill="1" applyBorder="1" applyAlignment="1">
      <alignment horizontal="center"/>
    </xf>
    <xf numFmtId="0" fontId="5" fillId="5" borderId="0" xfId="0" applyFont="1" applyFill="1" applyBorder="1" applyAlignment="1">
      <alignment horizontal="left"/>
    </xf>
    <xf numFmtId="0" fontId="4" fillId="5" borderId="0" xfId="0" applyFont="1" applyFill="1" applyBorder="1" applyAlignment="1">
      <alignment horizontal="left"/>
    </xf>
    <xf numFmtId="0" fontId="3" fillId="5" borderId="0" xfId="0" applyFont="1" applyFill="1" applyBorder="1" applyAlignment="1">
      <alignment horizontal="left"/>
    </xf>
    <xf numFmtId="0" fontId="3" fillId="5" borderId="0" xfId="0" applyFont="1" applyFill="1" applyBorder="1" applyAlignment="1">
      <alignment horizontal="left" vertical="center"/>
    </xf>
    <xf numFmtId="0" fontId="11" fillId="5" borderId="0" xfId="0" applyFont="1" applyFill="1" applyBorder="1" applyAlignment="1">
      <alignment horizontal="left"/>
    </xf>
    <xf numFmtId="0" fontId="11" fillId="5" borderId="0" xfId="0" applyFont="1" applyFill="1" applyBorder="1" applyAlignment="1">
      <alignment vertical="center"/>
    </xf>
    <xf numFmtId="0" fontId="11" fillId="5" borderId="0" xfId="0" applyFont="1" applyFill="1" applyBorder="1" applyAlignment="1">
      <alignment vertical="center" wrapText="1"/>
    </xf>
    <xf numFmtId="0" fontId="12" fillId="2" borderId="1" xfId="0" applyFont="1" applyFill="1" applyBorder="1" applyAlignment="1">
      <alignment horizontal="left" vertical="center"/>
    </xf>
    <xf numFmtId="2" fontId="12" fillId="2" borderId="1" xfId="0" applyNumberFormat="1" applyFont="1" applyFill="1" applyBorder="1" applyAlignment="1">
      <alignment horizontal="left" vertical="center"/>
    </xf>
    <xf numFmtId="0" fontId="12" fillId="2" borderId="1" xfId="0" applyFont="1" applyFill="1" applyBorder="1"/>
    <xf numFmtId="0" fontId="12" fillId="5" borderId="0" xfId="0" applyFont="1" applyFill="1" applyAlignment="1">
      <alignment horizontal="left" vertical="center"/>
    </xf>
    <xf numFmtId="2" fontId="8" fillId="4" borderId="20" xfId="0" applyNumberFormat="1" applyFont="1" applyFill="1" applyBorder="1" applyAlignment="1">
      <alignment horizontal="right"/>
    </xf>
    <xf numFmtId="2" fontId="12" fillId="4" borderId="0" xfId="0" applyNumberFormat="1" applyFont="1" applyFill="1" applyBorder="1" applyAlignment="1">
      <alignment horizontal="left"/>
    </xf>
    <xf numFmtId="2" fontId="12" fillId="3" borderId="21" xfId="0" applyNumberFormat="1" applyFont="1" applyFill="1" applyBorder="1" applyAlignment="1" applyProtection="1">
      <alignment horizontal="left"/>
      <protection locked="0"/>
    </xf>
    <xf numFmtId="0" fontId="12" fillId="5" borderId="2" xfId="0" applyFont="1" applyFill="1" applyBorder="1" applyAlignment="1">
      <alignment horizontal="left" vertical="center" wrapText="1"/>
    </xf>
    <xf numFmtId="0" fontId="12" fillId="5" borderId="2" xfId="0" applyFont="1" applyFill="1" applyBorder="1" applyAlignment="1" applyProtection="1">
      <alignment horizontal="left" vertical="center"/>
      <protection hidden="1"/>
    </xf>
    <xf numFmtId="2" fontId="10" fillId="5" borderId="5" xfId="0" applyNumberFormat="1" applyFont="1" applyFill="1" applyBorder="1" applyAlignment="1">
      <alignment horizontal="left" vertical="center"/>
    </xf>
    <xf numFmtId="2" fontId="10" fillId="5" borderId="0" xfId="0" applyNumberFormat="1" applyFont="1" applyFill="1" applyBorder="1" applyAlignment="1">
      <alignment horizontal="left" vertical="center"/>
    </xf>
    <xf numFmtId="2" fontId="10" fillId="5" borderId="2" xfId="0" applyNumberFormat="1" applyFont="1" applyFill="1" applyBorder="1" applyAlignment="1">
      <alignment horizontal="left" vertical="center"/>
    </xf>
    <xf numFmtId="2" fontId="10" fillId="2" borderId="0" xfId="0" applyNumberFormat="1" applyFont="1" applyFill="1" applyBorder="1" applyAlignment="1">
      <alignment horizontal="left" vertical="center"/>
    </xf>
    <xf numFmtId="0" fontId="8" fillId="5" borderId="3" xfId="0" applyFont="1" applyFill="1" applyBorder="1" applyAlignment="1">
      <alignment horizontal="left" vertical="center"/>
    </xf>
    <xf numFmtId="0" fontId="8" fillId="2" borderId="22" xfId="0" applyFont="1" applyFill="1" applyBorder="1" applyAlignment="1">
      <alignment horizontal="left" vertical="center" wrapText="1"/>
    </xf>
    <xf numFmtId="2" fontId="8" fillId="4" borderId="0" xfId="0" applyNumberFormat="1" applyFont="1" applyFill="1" applyBorder="1" applyAlignment="1">
      <alignment horizontal="right"/>
    </xf>
    <xf numFmtId="2" fontId="12" fillId="4" borderId="23" xfId="0" applyNumberFormat="1" applyFont="1" applyFill="1" applyBorder="1" applyAlignment="1">
      <alignment horizontal="left"/>
    </xf>
    <xf numFmtId="2" fontId="12" fillId="4" borderId="20" xfId="0" applyNumberFormat="1" applyFont="1" applyFill="1" applyBorder="1" applyAlignment="1">
      <alignment horizontal="left"/>
    </xf>
    <xf numFmtId="2" fontId="12" fillId="4" borderId="22" xfId="0" applyNumberFormat="1" applyFont="1" applyFill="1" applyBorder="1" applyAlignment="1">
      <alignment horizontal="left"/>
    </xf>
    <xf numFmtId="0" fontId="12" fillId="4" borderId="13" xfId="0" applyFont="1" applyFill="1" applyBorder="1" applyAlignment="1">
      <alignment horizontal="center" vertical="center" wrapText="1"/>
    </xf>
    <xf numFmtId="0" fontId="21" fillId="2" borderId="0" xfId="0" applyFont="1" applyFill="1"/>
    <xf numFmtId="2" fontId="12" fillId="5" borderId="24" xfId="0" applyNumberFormat="1" applyFont="1" applyFill="1" applyBorder="1" applyAlignment="1">
      <alignment horizontal="left" vertical="center"/>
    </xf>
    <xf numFmtId="2" fontId="8" fillId="4" borderId="13" xfId="0" applyNumberFormat="1" applyFont="1" applyFill="1" applyBorder="1" applyAlignment="1">
      <alignment horizontal="right"/>
    </xf>
    <xf numFmtId="2" fontId="10" fillId="3" borderId="16" xfId="0" applyNumberFormat="1" applyFont="1" applyFill="1" applyBorder="1" applyAlignment="1" applyProtection="1">
      <alignment horizontal="left"/>
      <protection locked="0"/>
    </xf>
    <xf numFmtId="2" fontId="10" fillId="3" borderId="16" xfId="0" applyNumberFormat="1" applyFont="1" applyFill="1" applyBorder="1" applyAlignment="1" applyProtection="1">
      <alignment horizontal="left" vertical="center"/>
      <protection locked="0"/>
    </xf>
    <xf numFmtId="2" fontId="9" fillId="3" borderId="16" xfId="0" applyNumberFormat="1" applyFont="1" applyFill="1" applyBorder="1" applyAlignment="1" applyProtection="1">
      <alignment horizontal="left" vertical="center"/>
      <protection locked="0"/>
    </xf>
    <xf numFmtId="2" fontId="10" fillId="3" borderId="18" xfId="0" applyNumberFormat="1" applyFont="1" applyFill="1" applyBorder="1" applyAlignment="1" applyProtection="1">
      <alignment horizontal="left"/>
      <protection locked="0"/>
    </xf>
    <xf numFmtId="0" fontId="9" fillId="2" borderId="0" xfId="0" applyFont="1" applyFill="1" applyBorder="1" applyAlignment="1">
      <alignment horizontal="left" vertical="center" wrapText="1"/>
    </xf>
    <xf numFmtId="2" fontId="12" fillId="5" borderId="2" xfId="0" applyNumberFormat="1" applyFont="1" applyFill="1" applyBorder="1" applyAlignment="1">
      <alignment horizontal="left" vertical="center"/>
    </xf>
    <xf numFmtId="2" fontId="12" fillId="5" borderId="8" xfId="0" applyNumberFormat="1" applyFont="1" applyFill="1" applyBorder="1" applyAlignment="1">
      <alignment horizontal="left" vertical="center"/>
    </xf>
    <xf numFmtId="2" fontId="12" fillId="5" borderId="10" xfId="0" applyNumberFormat="1" applyFont="1" applyFill="1" applyBorder="1" applyAlignment="1">
      <alignment horizontal="left" vertical="center"/>
    </xf>
    <xf numFmtId="0" fontId="13" fillId="5" borderId="5" xfId="0" applyFont="1" applyFill="1" applyBorder="1" applyAlignment="1">
      <alignment horizontal="left" vertical="center"/>
    </xf>
    <xf numFmtId="2" fontId="13" fillId="5" borderId="5" xfId="0" applyNumberFormat="1" applyFont="1" applyFill="1" applyBorder="1" applyAlignment="1">
      <alignment horizontal="left" vertical="center"/>
    </xf>
    <xf numFmtId="0" fontId="12" fillId="2" borderId="11" xfId="0" applyFont="1" applyFill="1" applyBorder="1"/>
    <xf numFmtId="0" fontId="12" fillId="2" borderId="3" xfId="0" applyFont="1" applyFill="1" applyBorder="1"/>
    <xf numFmtId="0" fontId="8" fillId="2" borderId="0" xfId="0" applyNumberFormat="1" applyFont="1" applyFill="1" applyBorder="1" applyAlignment="1">
      <alignment horizontal="left" vertical="center"/>
    </xf>
    <xf numFmtId="0" fontId="8" fillId="4" borderId="0" xfId="0" applyNumberFormat="1" applyFont="1" applyFill="1" applyBorder="1" applyAlignment="1">
      <alignment horizontal="center" vertical="center"/>
    </xf>
    <xf numFmtId="0" fontId="12" fillId="5" borderId="8" xfId="0" applyFont="1" applyFill="1" applyBorder="1" applyAlignment="1">
      <alignment horizontal="left" vertical="center"/>
    </xf>
    <xf numFmtId="0" fontId="12" fillId="2" borderId="10" xfId="0" applyFont="1" applyFill="1" applyBorder="1" applyAlignment="1">
      <alignment horizontal="left" vertical="top" wrapText="1" indent="2"/>
    </xf>
    <xf numFmtId="0" fontId="12" fillId="2" borderId="10" xfId="0" applyFont="1" applyFill="1" applyBorder="1" applyAlignment="1">
      <alignment horizontal="left" vertical="top" indent="2"/>
    </xf>
    <xf numFmtId="0" fontId="0" fillId="2" borderId="0" xfId="0" applyFill="1" applyAlignment="1">
      <alignment horizontal="left" vertical="top" indent="2"/>
    </xf>
    <xf numFmtId="0" fontId="0" fillId="3" borderId="0" xfId="0" applyFill="1" applyAlignment="1">
      <alignment horizontal="left" vertical="top" indent="2"/>
    </xf>
    <xf numFmtId="0" fontId="12" fillId="2" borderId="0" xfId="0" applyFont="1" applyFill="1" applyAlignment="1">
      <alignment horizontal="left" vertical="top"/>
    </xf>
    <xf numFmtId="0" fontId="0" fillId="4" borderId="0" xfId="0" applyFill="1" applyAlignment="1">
      <alignment horizontal="left" vertical="top" indent="2"/>
    </xf>
    <xf numFmtId="0" fontId="0" fillId="5" borderId="0" xfId="0" applyFill="1" applyAlignment="1">
      <alignment horizontal="left" vertical="top" indent="2"/>
    </xf>
    <xf numFmtId="0" fontId="12" fillId="2" borderId="0" xfId="0" applyFont="1" applyFill="1" applyAlignment="1">
      <alignment horizontal="left" vertical="top" indent="2"/>
    </xf>
    <xf numFmtId="0" fontId="12" fillId="2" borderId="0" xfId="0" applyFont="1" applyFill="1" applyAlignment="1">
      <alignment horizontal="left" vertical="top" wrapText="1" indent="2"/>
    </xf>
    <xf numFmtId="0" fontId="12" fillId="5" borderId="0" xfId="0" applyFont="1" applyFill="1" applyAlignment="1">
      <alignment horizontal="left" vertical="top" indent="2"/>
    </xf>
    <xf numFmtId="0" fontId="13" fillId="0" borderId="11" xfId="0" applyFont="1" applyBorder="1" applyAlignment="1">
      <alignment horizontal="left" vertical="top" wrapText="1" indent="2"/>
    </xf>
    <xf numFmtId="0" fontId="13" fillId="0" borderId="1" xfId="0" applyFont="1" applyBorder="1" applyAlignment="1">
      <alignment horizontal="left" vertical="top" wrapText="1" indent="2"/>
    </xf>
    <xf numFmtId="0" fontId="37" fillId="6" borderId="8" xfId="0" applyFont="1" applyFill="1" applyBorder="1" applyAlignment="1">
      <alignment horizontal="left" vertical="center" indent="2"/>
    </xf>
    <xf numFmtId="0" fontId="37" fillId="6" borderId="7" xfId="0" applyFont="1" applyFill="1" applyBorder="1" applyAlignment="1">
      <alignment horizontal="left" vertical="center" indent="2"/>
    </xf>
    <xf numFmtId="0" fontId="37" fillId="6" borderId="9" xfId="0" applyFont="1" applyFill="1" applyBorder="1" applyAlignment="1">
      <alignment horizontal="left" vertical="center" indent="2"/>
    </xf>
    <xf numFmtId="0" fontId="37" fillId="6" borderId="10" xfId="0" applyFont="1" applyFill="1" applyBorder="1" applyAlignment="1">
      <alignment horizontal="left" vertical="center" indent="2"/>
    </xf>
    <xf numFmtId="0" fontId="37" fillId="6" borderId="0" xfId="0" applyFont="1" applyFill="1" applyAlignment="1">
      <alignment horizontal="left" vertical="center" indent="2"/>
    </xf>
    <xf numFmtId="0" fontId="37" fillId="6" borderId="2" xfId="0" applyFont="1" applyFill="1" applyBorder="1" applyAlignment="1">
      <alignment horizontal="left" vertical="center" indent="2"/>
    </xf>
    <xf numFmtId="0" fontId="12" fillId="2" borderId="10" xfId="0" applyFont="1" applyFill="1" applyBorder="1" applyAlignment="1">
      <alignment horizontal="left" wrapText="1" indent="2"/>
    </xf>
    <xf numFmtId="0" fontId="12" fillId="2" borderId="0" xfId="0" applyFont="1" applyFill="1" applyAlignment="1">
      <alignment horizontal="left" wrapText="1" indent="2"/>
    </xf>
    <xf numFmtId="0" fontId="13" fillId="0" borderId="10" xfId="0" applyFont="1" applyBorder="1" applyAlignment="1">
      <alignment horizontal="left" wrapText="1" indent="2"/>
    </xf>
    <xf numFmtId="0" fontId="13" fillId="0" borderId="0" xfId="0" applyFont="1" applyAlignment="1">
      <alignment horizontal="left" wrapText="1" indent="2"/>
    </xf>
    <xf numFmtId="0" fontId="13" fillId="2" borderId="10" xfId="0" applyFont="1" applyFill="1" applyBorder="1" applyAlignment="1">
      <alignment horizontal="left" wrapText="1" indent="2"/>
    </xf>
    <xf numFmtId="0" fontId="13" fillId="2" borderId="0" xfId="0" applyFont="1" applyFill="1" applyAlignment="1">
      <alignment horizontal="left" wrapText="1" indent="2"/>
    </xf>
    <xf numFmtId="0" fontId="34" fillId="6" borderId="0" xfId="0" applyFont="1" applyFill="1" applyAlignment="1">
      <alignment horizontal="left" vertical="center" indent="2"/>
    </xf>
    <xf numFmtId="0" fontId="33" fillId="2" borderId="0" xfId="1" applyFont="1" applyFill="1" applyProtection="1">
      <protection locked="0"/>
    </xf>
    <xf numFmtId="0" fontId="12" fillId="2" borderId="10" xfId="0" applyFont="1" applyFill="1" applyBorder="1" applyAlignment="1">
      <alignment horizontal="left" vertical="top" indent="2"/>
    </xf>
    <xf numFmtId="0" fontId="12" fillId="2" borderId="0" xfId="0" applyFont="1" applyFill="1" applyAlignment="1">
      <alignment horizontal="left" vertical="top" indent="2"/>
    </xf>
    <xf numFmtId="0" fontId="12" fillId="2" borderId="10" xfId="0" applyFont="1" applyFill="1" applyBorder="1" applyAlignment="1">
      <alignment horizontal="left" vertical="top" wrapText="1" indent="2"/>
    </xf>
    <xf numFmtId="0" fontId="12" fillId="2" borderId="0" xfId="0" applyFont="1" applyFill="1" applyAlignment="1">
      <alignment horizontal="left" vertical="top" wrapText="1" indent="2"/>
    </xf>
    <xf numFmtId="0" fontId="8" fillId="2" borderId="10" xfId="0" applyFont="1" applyFill="1" applyBorder="1" applyAlignment="1">
      <alignment horizontal="left" vertical="top" wrapText="1" indent="2"/>
    </xf>
    <xf numFmtId="0" fontId="8" fillId="2" borderId="0" xfId="0" applyFont="1" applyFill="1" applyAlignment="1">
      <alignment horizontal="left" vertical="top" wrapText="1" indent="2"/>
    </xf>
    <xf numFmtId="0" fontId="8" fillId="2" borderId="2" xfId="0" applyFont="1" applyFill="1" applyBorder="1" applyAlignment="1">
      <alignment horizontal="left" vertical="top" wrapText="1" indent="2"/>
    </xf>
    <xf numFmtId="0" fontId="31" fillId="0" borderId="10" xfId="0" applyFont="1" applyBorder="1" applyAlignment="1">
      <alignment horizontal="left" vertical="center" indent="2"/>
    </xf>
    <xf numFmtId="0" fontId="31" fillId="0" borderId="0" xfId="0" applyFont="1" applyAlignment="1">
      <alignment horizontal="left" vertical="center" indent="2"/>
    </xf>
    <xf numFmtId="0" fontId="33" fillId="0" borderId="0" xfId="1" applyFont="1" applyProtection="1">
      <protection locked="0"/>
    </xf>
    <xf numFmtId="0" fontId="13" fillId="2" borderId="0" xfId="0" applyFont="1" applyFill="1" applyAlignment="1">
      <alignment horizontal="left" vertical="top" wrapText="1" indent="2"/>
    </xf>
    <xf numFmtId="0" fontId="32" fillId="0" borderId="10" xfId="0" applyFont="1" applyBorder="1" applyAlignment="1">
      <alignment horizontal="left" vertical="top" indent="2"/>
    </xf>
    <xf numFmtId="0" fontId="32" fillId="0" borderId="0" xfId="0" applyFont="1" applyAlignment="1">
      <alignment horizontal="left" vertical="top" indent="2"/>
    </xf>
    <xf numFmtId="0" fontId="13" fillId="0" borderId="10" xfId="0" applyFont="1" applyBorder="1" applyAlignment="1">
      <alignment horizontal="left" vertical="top" indent="2"/>
    </xf>
    <xf numFmtId="0" fontId="13" fillId="0" borderId="0" xfId="0" applyFont="1" applyAlignment="1">
      <alignment horizontal="left" vertical="top" indent="2"/>
    </xf>
    <xf numFmtId="0" fontId="13" fillId="0" borderId="0" xfId="0" applyFont="1" applyAlignment="1">
      <alignment horizontal="left" vertical="top" wrapText="1" indent="2"/>
    </xf>
    <xf numFmtId="0" fontId="37" fillId="6" borderId="0" xfId="0" applyFont="1" applyFill="1" applyBorder="1" applyAlignment="1">
      <alignment horizontal="left" vertical="center" indent="2"/>
    </xf>
    <xf numFmtId="14" fontId="12" fillId="3" borderId="12" xfId="0" applyNumberFormat="1" applyFont="1" applyFill="1" applyBorder="1" applyAlignment="1" applyProtection="1">
      <alignment horizontal="left" vertical="center" wrapText="1"/>
      <protection locked="0"/>
    </xf>
    <xf numFmtId="0" fontId="12" fillId="3" borderId="14" xfId="0" applyFont="1" applyFill="1" applyBorder="1" applyAlignment="1" applyProtection="1">
      <alignment horizontal="left" vertical="center" wrapText="1"/>
      <protection locked="0"/>
    </xf>
    <xf numFmtId="0" fontId="12" fillId="3" borderId="13" xfId="0" applyFont="1" applyFill="1" applyBorder="1" applyAlignment="1" applyProtection="1">
      <alignment horizontal="left" vertical="center" wrapText="1"/>
      <protection locked="0"/>
    </xf>
    <xf numFmtId="0" fontId="37" fillId="6" borderId="10" xfId="0" applyFont="1" applyFill="1" applyBorder="1" applyAlignment="1">
      <alignment horizontal="left" vertical="center" indent="3"/>
    </xf>
    <xf numFmtId="0" fontId="37" fillId="6" borderId="0" xfId="0" applyFont="1" applyFill="1" applyBorder="1" applyAlignment="1">
      <alignment horizontal="left" vertical="center" indent="3"/>
    </xf>
    <xf numFmtId="0" fontId="37" fillId="6" borderId="2" xfId="0" applyFont="1" applyFill="1" applyBorder="1" applyAlignment="1">
      <alignment horizontal="left" vertical="center" indent="3"/>
    </xf>
    <xf numFmtId="0" fontId="26" fillId="2" borderId="0" xfId="0" applyFont="1" applyFill="1" applyAlignment="1">
      <alignment horizontal="center"/>
    </xf>
    <xf numFmtId="0" fontId="8" fillId="2" borderId="0" xfId="0" applyFont="1" applyFill="1" applyBorder="1" applyAlignment="1">
      <alignment horizontal="center" vertical="center" wrapText="1"/>
    </xf>
    <xf numFmtId="0" fontId="36" fillId="2" borderId="0" xfId="0" applyFont="1" applyFill="1" applyAlignment="1">
      <alignment horizontal="center"/>
    </xf>
    <xf numFmtId="0" fontId="9" fillId="2" borderId="0" xfId="0" applyFont="1" applyFill="1" applyBorder="1" applyAlignment="1">
      <alignment horizontal="left" vertical="center" wrapText="1"/>
    </xf>
    <xf numFmtId="0" fontId="8" fillId="2" borderId="12" xfId="0" applyFont="1" applyFill="1" applyBorder="1" applyAlignment="1">
      <alignment horizontal="left"/>
    </xf>
    <xf numFmtId="0" fontId="9" fillId="2" borderId="14" xfId="0" applyFont="1" applyFill="1" applyBorder="1" applyAlignment="1">
      <alignment horizontal="left" vertical="center" wrapText="1"/>
    </xf>
    <xf numFmtId="0" fontId="37" fillId="6" borderId="0" xfId="0" applyFont="1" applyFill="1" applyAlignment="1">
      <alignment horizontal="left" vertical="center" indent="3"/>
    </xf>
    <xf numFmtId="0" fontId="36" fillId="2" borderId="0" xfId="0" applyFont="1" applyFill="1" applyAlignment="1">
      <alignment horizontal="center" vertical="center"/>
    </xf>
    <xf numFmtId="0" fontId="37" fillId="6" borderId="8" xfId="0" applyFont="1" applyFill="1" applyBorder="1" applyAlignment="1">
      <alignment horizontal="left" vertical="center" indent="3"/>
    </xf>
    <xf numFmtId="0" fontId="37" fillId="6" borderId="7" xfId="0" applyFont="1" applyFill="1" applyBorder="1" applyAlignment="1">
      <alignment horizontal="left" vertical="center" indent="3"/>
    </xf>
    <xf numFmtId="0" fontId="37" fillId="6" borderId="9" xfId="0" applyFont="1" applyFill="1" applyBorder="1" applyAlignment="1">
      <alignment horizontal="left" vertical="center" indent="3"/>
    </xf>
    <xf numFmtId="0" fontId="36" fillId="2" borderId="0" xfId="0" applyFont="1" applyFill="1" applyBorder="1" applyAlignment="1">
      <alignment horizontal="center" vertical="center"/>
    </xf>
    <xf numFmtId="0" fontId="23" fillId="2" borderId="0" xfId="0" applyFont="1" applyFill="1" applyBorder="1" applyAlignment="1">
      <alignment horizontal="center" vertical="top"/>
    </xf>
    <xf numFmtId="0" fontId="8" fillId="2" borderId="0" xfId="0" applyFont="1" applyFill="1" applyBorder="1" applyAlignment="1">
      <alignment horizontal="left" vertical="center" wrapText="1"/>
    </xf>
    <xf numFmtId="2" fontId="17" fillId="2" borderId="0" xfId="0" applyNumberFormat="1" applyFont="1" applyFill="1" applyBorder="1" applyAlignment="1">
      <alignment horizontal="center" vertical="center"/>
    </xf>
    <xf numFmtId="2" fontId="17" fillId="4" borderId="0" xfId="0" applyNumberFormat="1" applyFont="1" applyFill="1" applyBorder="1" applyAlignment="1">
      <alignment horizontal="center" vertical="center"/>
    </xf>
    <xf numFmtId="0" fontId="41" fillId="6" borderId="8" xfId="0" applyFont="1" applyFill="1" applyBorder="1" applyAlignment="1">
      <alignment horizontal="left" vertical="center" indent="3"/>
    </xf>
    <xf numFmtId="0" fontId="41" fillId="6" borderId="7" xfId="0" applyFont="1" applyFill="1" applyBorder="1" applyAlignment="1">
      <alignment horizontal="left" vertical="center" indent="3"/>
    </xf>
    <xf numFmtId="0" fontId="41" fillId="6" borderId="9" xfId="0" applyFont="1" applyFill="1" applyBorder="1" applyAlignment="1">
      <alignment horizontal="left" vertical="center" indent="3"/>
    </xf>
    <xf numFmtId="0" fontId="41" fillId="6" borderId="10" xfId="0" applyFont="1" applyFill="1" applyBorder="1" applyAlignment="1">
      <alignment horizontal="left" vertical="center" indent="3"/>
    </xf>
    <xf numFmtId="0" fontId="41" fillId="6" borderId="0" xfId="0" applyFont="1" applyFill="1" applyBorder="1" applyAlignment="1">
      <alignment horizontal="left" vertical="center" indent="3"/>
    </xf>
    <xf numFmtId="0" fontId="41" fillId="6" borderId="2" xfId="0" applyFont="1" applyFill="1" applyBorder="1" applyAlignment="1">
      <alignment horizontal="left" vertical="center" indent="3"/>
    </xf>
    <xf numFmtId="0" fontId="8" fillId="2" borderId="0" xfId="0" applyFont="1" applyFill="1" applyAlignment="1">
      <alignment horizontal="left" vertical="center" wrapText="1"/>
    </xf>
    <xf numFmtId="2" fontId="17" fillId="4" borderId="0" xfId="0" applyNumberFormat="1" applyFont="1" applyFill="1" applyAlignment="1">
      <alignment horizontal="center" vertical="center"/>
    </xf>
  </cellXfs>
  <cellStyles count="2">
    <cellStyle name="Hyperlink" xfId="1" builtinId="8"/>
    <cellStyle name="Normal" xfId="0" builtinId="0"/>
  </cellStyles>
  <dxfs count="10">
    <dxf>
      <fill>
        <patternFill>
          <bgColor rgb="FFF7E8BE"/>
        </patternFill>
      </fill>
    </dxf>
    <dxf>
      <fill>
        <patternFill>
          <bgColor rgb="FFF7E8BE"/>
        </patternFill>
      </fill>
    </dxf>
    <dxf>
      <fill>
        <patternFill>
          <bgColor rgb="FFF7E8BE"/>
        </patternFill>
      </fill>
    </dxf>
    <dxf>
      <fill>
        <patternFill>
          <fgColor rgb="FFF7E8BE"/>
          <bgColor rgb="FFF7E8BE"/>
        </patternFill>
      </fill>
    </dxf>
    <dxf>
      <fill>
        <patternFill>
          <fgColor rgb="FFF7E8BE"/>
          <bgColor rgb="FFF7E8BE"/>
        </patternFill>
      </fill>
    </dxf>
    <dxf>
      <fill>
        <patternFill patternType="solid">
          <fgColor rgb="FFF7E8BE"/>
          <bgColor rgb="FFF7E8BE"/>
        </patternFill>
      </fill>
    </dxf>
    <dxf>
      <fill>
        <patternFill>
          <bgColor theme="0"/>
        </patternFill>
      </fill>
    </dxf>
    <dxf>
      <font>
        <b val="0"/>
        <i val="0"/>
        <strike val="0"/>
        <color auto="1"/>
      </font>
      <fill>
        <patternFill>
          <fgColor rgb="FFF7E8BE"/>
          <bgColor rgb="FFF7E8BE"/>
        </patternFill>
      </fill>
    </dxf>
    <dxf>
      <numFmt numFmtId="0" formatCode="General"/>
      <fill>
        <patternFill>
          <bgColor rgb="FF9DD3BE"/>
        </patternFill>
      </fill>
      <border>
        <left/>
        <right/>
        <top/>
        <bottom/>
      </border>
    </dxf>
    <dxf>
      <font>
        <strike val="0"/>
        <color theme="0"/>
      </font>
    </dxf>
  </dxfs>
  <tableStyles count="0" defaultTableStyle="TableStyleMedium2" defaultPivotStyle="PivotStyleLight16"/>
  <colors>
    <mruColors>
      <color rgb="FF449669"/>
      <color rgb="FFF7E8BE"/>
      <color rgb="FF9DD3BE"/>
      <color rgb="FFAAC7EE"/>
      <color rgb="FFF3EEDD"/>
      <color rgb="FF9DDBBE"/>
      <color rgb="FFC5C5C5"/>
      <color rgb="FFC5C1C7"/>
      <color rgb="FFE0CBFD"/>
      <color rgb="FFFECE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ee.ricardo.com/" TargetMode="External"/><Relationship Id="rId7" Type="http://schemas.openxmlformats.org/officeDocument/2006/relationships/hyperlink" Target="#'River Mease SAC'!A1"/><Relationship Id="rId2" Type="http://schemas.openxmlformats.org/officeDocument/2006/relationships/hyperlink" Target="https://www.geograph.org.uk/photo/428104" TargetMode="External"/><Relationship Id="rId1" Type="http://schemas.openxmlformats.org/officeDocument/2006/relationships/image" Target="../media/image1.jpg"/><Relationship Id="rId6" Type="http://schemas.openxmlformats.org/officeDocument/2006/relationships/image" Target="../media/image3.png"/><Relationship Id="rId5" Type="http://schemas.openxmlformats.org/officeDocument/2006/relationships/hyperlink" Target="https://www.gov.uk/government/organisations/natural-england"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hyperlink" Target="#'Stage 3'!A1"/><Relationship Id="rId7" Type="http://schemas.openxmlformats.org/officeDocument/2006/relationships/hyperlink" Target="#'Stage 4'!A1"/><Relationship Id="rId2" Type="http://schemas.openxmlformats.org/officeDocument/2006/relationships/image" Target="../media/image6.png"/><Relationship Id="rId1" Type="http://schemas.openxmlformats.org/officeDocument/2006/relationships/hyperlink" Target="#'Stage 1'!A1"/><Relationship Id="rId6" Type="http://schemas.openxmlformats.org/officeDocument/2006/relationships/image" Target="../media/image8.png"/><Relationship Id="rId5" Type="http://schemas.openxmlformats.org/officeDocument/2006/relationships/hyperlink" Target="#'Stage 2'!A1"/><Relationship Id="rId10" Type="http://schemas.openxmlformats.org/officeDocument/2006/relationships/image" Target="../media/image11.png"/><Relationship Id="rId4" Type="http://schemas.openxmlformats.org/officeDocument/2006/relationships/image" Target="../media/image7.png"/><Relationship Id="rId9" Type="http://schemas.openxmlformats.org/officeDocument/2006/relationships/image" Target="../media/image10.png"/></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hyperlink" Target="#'Stage 3'!A1"/><Relationship Id="rId7" Type="http://schemas.openxmlformats.org/officeDocument/2006/relationships/hyperlink" Target="#'Stage 4'!A1"/><Relationship Id="rId2" Type="http://schemas.openxmlformats.org/officeDocument/2006/relationships/image" Target="../media/image6.png"/><Relationship Id="rId1" Type="http://schemas.openxmlformats.org/officeDocument/2006/relationships/hyperlink" Target="#'Stage 1'!A1"/><Relationship Id="rId6" Type="http://schemas.openxmlformats.org/officeDocument/2006/relationships/image" Target="../media/image8.png"/><Relationship Id="rId5" Type="http://schemas.openxmlformats.org/officeDocument/2006/relationships/hyperlink" Target="#'Stage 2'!A1"/><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11</xdr:col>
      <xdr:colOff>342900</xdr:colOff>
      <xdr:row>1</xdr:row>
      <xdr:rowOff>180975</xdr:rowOff>
    </xdr:from>
    <xdr:to>
      <xdr:col>19</xdr:col>
      <xdr:colOff>127000</xdr:colOff>
      <xdr:row>10</xdr:row>
      <xdr:rowOff>219075</xdr:rowOff>
    </xdr:to>
    <xdr:pic>
      <xdr:nvPicPr>
        <xdr:cNvPr id="3" name="Picture 2">
          <a:extLst>
            <a:ext uri="{FF2B5EF4-FFF2-40B4-BE49-F238E27FC236}">
              <a16:creationId xmlns:a16="http://schemas.microsoft.com/office/drawing/2014/main" id="{62D230C3-FE19-46CB-8813-82B8FCA979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r:id="rId2"/>
            </a:ext>
          </a:extLst>
        </a:blip>
        <a:srcRect/>
        <a:stretch/>
      </xdr:blipFill>
      <xdr:spPr>
        <a:xfrm>
          <a:off x="4533900" y="542925"/>
          <a:ext cx="4394200" cy="3295650"/>
        </a:xfrm>
        <a:prstGeom prst="rect">
          <a:avLst/>
        </a:prstGeom>
        <a:effectLst>
          <a:outerShdw blurRad="63500" sx="102000" sy="102000" algn="ctr" rotWithShape="0">
            <a:prstClr val="black">
              <a:alpha val="40000"/>
            </a:prstClr>
          </a:outerShdw>
        </a:effectLst>
      </xdr:spPr>
    </xdr:pic>
    <xdr:clientData/>
  </xdr:twoCellAnchor>
  <xdr:twoCellAnchor editAs="oneCell">
    <xdr:from>
      <xdr:col>3</xdr:col>
      <xdr:colOff>0</xdr:colOff>
      <xdr:row>6</xdr:row>
      <xdr:rowOff>0</xdr:rowOff>
    </xdr:from>
    <xdr:to>
      <xdr:col>3</xdr:col>
      <xdr:colOff>304800</xdr:colOff>
      <xdr:row>6</xdr:row>
      <xdr:rowOff>304800</xdr:rowOff>
    </xdr:to>
    <xdr:sp macro="" textlink="">
      <xdr:nvSpPr>
        <xdr:cNvPr id="6146" name="AutoShape 2">
          <a:extLst>
            <a:ext uri="{FF2B5EF4-FFF2-40B4-BE49-F238E27FC236}">
              <a16:creationId xmlns:a16="http://schemas.microsoft.com/office/drawing/2014/main" id="{F3FA525F-6FDB-4BEA-9A2F-1AB579041DD2}"/>
            </a:ext>
          </a:extLst>
        </xdr:cNvPr>
        <xdr:cNvSpPr>
          <a:spLocks noChangeAspect="1" noChangeArrowheads="1"/>
        </xdr:cNvSpPr>
      </xdr:nvSpPr>
      <xdr:spPr bwMode="auto">
        <a:xfrm>
          <a:off x="1828800" y="11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5</xdr:row>
      <xdr:rowOff>0</xdr:rowOff>
    </xdr:from>
    <xdr:to>
      <xdr:col>5</xdr:col>
      <xdr:colOff>304800</xdr:colOff>
      <xdr:row>5</xdr:row>
      <xdr:rowOff>304800</xdr:rowOff>
    </xdr:to>
    <xdr:sp macro="" textlink="">
      <xdr:nvSpPr>
        <xdr:cNvPr id="6147" name="AutoShape 3">
          <a:extLst>
            <a:ext uri="{FF2B5EF4-FFF2-40B4-BE49-F238E27FC236}">
              <a16:creationId xmlns:a16="http://schemas.microsoft.com/office/drawing/2014/main" id="{B140DEB8-F359-4454-A33D-7ED25CD52F5B}"/>
            </a:ext>
          </a:extLst>
        </xdr:cNvPr>
        <xdr:cNvSpPr>
          <a:spLocks noChangeAspect="1" noChangeArrowheads="1"/>
        </xdr:cNvSpPr>
      </xdr:nvSpPr>
      <xdr:spPr bwMode="auto">
        <a:xfrm>
          <a:off x="3048000" y="95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38100</xdr:colOff>
      <xdr:row>1</xdr:row>
      <xdr:rowOff>152400</xdr:rowOff>
    </xdr:from>
    <xdr:to>
      <xdr:col>10</xdr:col>
      <xdr:colOff>346496</xdr:colOff>
      <xdr:row>4</xdr:row>
      <xdr:rowOff>275931</xdr:rowOff>
    </xdr:to>
    <xdr:pic>
      <xdr:nvPicPr>
        <xdr:cNvPr id="7" name="Picture 6">
          <a:hlinkClick xmlns:r="http://schemas.openxmlformats.org/officeDocument/2006/relationships" r:id="rId3"/>
          <a:extLst>
            <a:ext uri="{FF2B5EF4-FFF2-40B4-BE49-F238E27FC236}">
              <a16:creationId xmlns:a16="http://schemas.microsoft.com/office/drawing/2014/main" id="{A94DD4AD-3EEA-416C-B2EF-2E02AD19056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324100" y="514350"/>
          <a:ext cx="1832396" cy="1209381"/>
        </a:xfrm>
        <a:prstGeom prst="rect">
          <a:avLst/>
        </a:prstGeom>
        <a:effectLst>
          <a:outerShdw blurRad="63500" sx="102000" sy="102000" algn="ctr" rotWithShape="0">
            <a:prstClr val="black">
              <a:alpha val="40000"/>
            </a:prstClr>
          </a:outerShdw>
        </a:effectLst>
      </xdr:spPr>
    </xdr:pic>
    <xdr:clientData/>
  </xdr:twoCellAnchor>
  <xdr:twoCellAnchor editAs="oneCell">
    <xdr:from>
      <xdr:col>1</xdr:col>
      <xdr:colOff>180976</xdr:colOff>
      <xdr:row>1</xdr:row>
      <xdr:rowOff>180975</xdr:rowOff>
    </xdr:from>
    <xdr:to>
      <xdr:col>4</xdr:col>
      <xdr:colOff>180975</xdr:colOff>
      <xdr:row>4</xdr:row>
      <xdr:rowOff>240510</xdr:rowOff>
    </xdr:to>
    <xdr:pic>
      <xdr:nvPicPr>
        <xdr:cNvPr id="10" name="Picture 9">
          <a:hlinkClick xmlns:r="http://schemas.openxmlformats.org/officeDocument/2006/relationships" r:id="rId5"/>
          <a:extLst>
            <a:ext uri="{FF2B5EF4-FFF2-40B4-BE49-F238E27FC236}">
              <a16:creationId xmlns:a16="http://schemas.microsoft.com/office/drawing/2014/main" id="{E2204205-FAF5-4B6B-A86F-01A92D2D6BB3}"/>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3333" t="2000" r="23445" b="2000"/>
        <a:stretch/>
      </xdr:blipFill>
      <xdr:spPr bwMode="auto">
        <a:xfrm>
          <a:off x="561976" y="542925"/>
          <a:ext cx="1142999" cy="1145385"/>
        </a:xfrm>
        <a:prstGeom prst="rect">
          <a:avLst/>
        </a:prstGeom>
        <a:noFill/>
        <a:effectLst>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200024</xdr:colOff>
      <xdr:row>5</xdr:row>
      <xdr:rowOff>133351</xdr:rowOff>
    </xdr:from>
    <xdr:to>
      <xdr:col>11</xdr:col>
      <xdr:colOff>76199</xdr:colOff>
      <xdr:row>7</xdr:row>
      <xdr:rowOff>76200</xdr:rowOff>
    </xdr:to>
    <xdr:sp macro="" textlink="">
      <xdr:nvSpPr>
        <xdr:cNvPr id="8" name="TextBox 7">
          <a:extLst>
            <a:ext uri="{FF2B5EF4-FFF2-40B4-BE49-F238E27FC236}">
              <a16:creationId xmlns:a16="http://schemas.microsoft.com/office/drawing/2014/main" id="{2BC5E90D-F7DB-474F-BF74-1B4BF980360F}"/>
            </a:ext>
          </a:extLst>
        </xdr:cNvPr>
        <xdr:cNvSpPr txBox="1"/>
      </xdr:nvSpPr>
      <xdr:spPr>
        <a:xfrm>
          <a:off x="581024" y="1943101"/>
          <a:ext cx="3686175" cy="666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a:latin typeface="Century Gothic" panose="020B0502020202020204" pitchFamily="34" charset="0"/>
              <a:ea typeface="Segoe UI" panose="020B0502040204020203" pitchFamily="34" charset="0"/>
              <a:cs typeface="Segoe UI" panose="020B0502040204020203" pitchFamily="34" charset="0"/>
            </a:rPr>
            <a:t>Nutrient Neutrality Budget Calculator </a:t>
          </a: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3</xdr:col>
      <xdr:colOff>247649</xdr:colOff>
      <xdr:row>8</xdr:row>
      <xdr:rowOff>314326</xdr:rowOff>
    </xdr:from>
    <xdr:to>
      <xdr:col>9</xdr:col>
      <xdr:colOff>28575</xdr:colOff>
      <xdr:row>9</xdr:row>
      <xdr:rowOff>348376</xdr:rowOff>
    </xdr:to>
    <xdr:sp macro="" textlink="">
      <xdr:nvSpPr>
        <xdr:cNvPr id="16" name="TextBox 15">
          <a:hlinkClick xmlns:r="http://schemas.openxmlformats.org/officeDocument/2006/relationships" r:id="rId7"/>
          <a:extLst>
            <a:ext uri="{FF2B5EF4-FFF2-40B4-BE49-F238E27FC236}">
              <a16:creationId xmlns:a16="http://schemas.microsoft.com/office/drawing/2014/main" id="{DA266339-9600-4E62-B26B-3BF11ACB0CB9}"/>
            </a:ext>
          </a:extLst>
        </xdr:cNvPr>
        <xdr:cNvSpPr txBox="1"/>
      </xdr:nvSpPr>
      <xdr:spPr>
        <a:xfrm>
          <a:off x="1390649" y="3209926"/>
          <a:ext cx="2066926" cy="396000"/>
        </a:xfrm>
        <a:prstGeom prst="rect">
          <a:avLst/>
        </a:prstGeom>
        <a:solidFill>
          <a:schemeClr val="lt1"/>
        </a:solidFill>
        <a:ln w="38100" cmpd="sng">
          <a:solidFill>
            <a:srgbClr val="44966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a:solidFill>
                <a:srgbClr val="449669"/>
              </a:solidFill>
              <a:effectLst/>
              <a:latin typeface="Century Gothic" panose="020B0502020202020204" pitchFamily="34" charset="0"/>
              <a:ea typeface="+mn-ea"/>
              <a:cs typeface="+mn-cs"/>
            </a:rPr>
            <a:t>River Mease SAC</a:t>
          </a:r>
        </a:p>
        <a:p>
          <a:pPr algn="ctr"/>
          <a:r>
            <a:rPr lang="en-GB" sz="1800" b="1">
              <a:solidFill>
                <a:srgbClr val="449669"/>
              </a:solidFill>
              <a:effectLst/>
              <a:latin typeface="+mn-lt"/>
              <a:ea typeface="+mn-ea"/>
              <a:cs typeface="+mn-cs"/>
            </a:rPr>
            <a:t> </a:t>
          </a:r>
          <a:endParaRPr lang="en-GB" sz="1800" b="1">
            <a:solidFill>
              <a:srgbClr val="449669"/>
            </a:solidFill>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2</xdr:col>
      <xdr:colOff>209550</xdr:colOff>
      <xdr:row>5</xdr:row>
      <xdr:rowOff>66675</xdr:rowOff>
    </xdr:from>
    <xdr:to>
      <xdr:col>10</xdr:col>
      <xdr:colOff>57150</xdr:colOff>
      <xdr:row>5</xdr:row>
      <xdr:rowOff>66675</xdr:rowOff>
    </xdr:to>
    <xdr:cxnSp macro="">
      <xdr:nvCxnSpPr>
        <xdr:cNvPr id="14" name="Straight Connector 13">
          <a:extLst>
            <a:ext uri="{FF2B5EF4-FFF2-40B4-BE49-F238E27FC236}">
              <a16:creationId xmlns:a16="http://schemas.microsoft.com/office/drawing/2014/main" id="{FF16E9BF-5BA5-45AD-84A2-D9613662D088}"/>
            </a:ext>
          </a:extLst>
        </xdr:cNvPr>
        <xdr:cNvCxnSpPr/>
      </xdr:nvCxnSpPr>
      <xdr:spPr>
        <a:xfrm>
          <a:off x="971550" y="1876425"/>
          <a:ext cx="2895600"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200025</xdr:colOff>
      <xdr:row>10</xdr:row>
      <xdr:rowOff>171450</xdr:rowOff>
    </xdr:from>
    <xdr:to>
      <xdr:col>10</xdr:col>
      <xdr:colOff>47625</xdr:colOff>
      <xdr:row>10</xdr:row>
      <xdr:rowOff>171450</xdr:rowOff>
    </xdr:to>
    <xdr:cxnSp macro="">
      <xdr:nvCxnSpPr>
        <xdr:cNvPr id="19" name="Straight Connector 18">
          <a:extLst>
            <a:ext uri="{FF2B5EF4-FFF2-40B4-BE49-F238E27FC236}">
              <a16:creationId xmlns:a16="http://schemas.microsoft.com/office/drawing/2014/main" id="{3FC5B5CB-450A-4E2A-89F6-BD0FC229810C}"/>
            </a:ext>
          </a:extLst>
        </xdr:cNvPr>
        <xdr:cNvCxnSpPr/>
      </xdr:nvCxnSpPr>
      <xdr:spPr>
        <a:xfrm>
          <a:off x="962025" y="3790950"/>
          <a:ext cx="2895600"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171450</xdr:colOff>
      <xdr:row>7</xdr:row>
      <xdr:rowOff>76201</xdr:rowOff>
    </xdr:from>
    <xdr:to>
      <xdr:col>10</xdr:col>
      <xdr:colOff>104775</xdr:colOff>
      <xdr:row>9</xdr:row>
      <xdr:rowOff>9525</xdr:rowOff>
    </xdr:to>
    <xdr:sp macro="" textlink="">
      <xdr:nvSpPr>
        <xdr:cNvPr id="20" name="TextBox 19">
          <a:extLst>
            <a:ext uri="{FF2B5EF4-FFF2-40B4-BE49-F238E27FC236}">
              <a16:creationId xmlns:a16="http://schemas.microsoft.com/office/drawing/2014/main" id="{19D50B77-7D40-4832-A893-F919EAE1C2A1}"/>
            </a:ext>
          </a:extLst>
        </xdr:cNvPr>
        <xdr:cNvSpPr txBox="1"/>
      </xdr:nvSpPr>
      <xdr:spPr>
        <a:xfrm>
          <a:off x="933450" y="2609851"/>
          <a:ext cx="2981325" cy="657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a:solidFill>
                <a:schemeClr val="bg2">
                  <a:lumMod val="50000"/>
                </a:schemeClr>
              </a:solidFill>
              <a:latin typeface="Arial" panose="020B0604020202020204" pitchFamily="34" charset="0"/>
              <a:ea typeface="Segoe UI" panose="020B0502040204020203" pitchFamily="34" charset="0"/>
              <a:cs typeface="Arial" panose="020B0604020202020204" pitchFamily="34" charset="0"/>
            </a:rPr>
            <a:t>a</a:t>
          </a:r>
          <a:r>
            <a:rPr lang="en-GB" sz="1200" b="1" baseline="0">
              <a:solidFill>
                <a:schemeClr val="bg2">
                  <a:lumMod val="50000"/>
                </a:schemeClr>
              </a:solidFill>
              <a:latin typeface="Arial" panose="020B0604020202020204" pitchFamily="34" charset="0"/>
              <a:ea typeface="Segoe UI" panose="020B0502040204020203" pitchFamily="34" charset="0"/>
              <a:cs typeface="Arial" panose="020B0604020202020204" pitchFamily="34" charset="0"/>
            </a:rPr>
            <a:t> tool for assessing the nutrient loading to a Habitats Site</a:t>
          </a:r>
          <a:endParaRPr lang="en-GB" sz="1200" b="1">
            <a:solidFill>
              <a:schemeClr val="bg2">
                <a:lumMod val="50000"/>
              </a:schemeClr>
            </a:solidFill>
            <a:latin typeface="Arial" panose="020B0604020202020204" pitchFamily="34" charset="0"/>
            <a:ea typeface="Segoe UI" panose="020B0502040204020203" pitchFamily="34" charset="0"/>
            <a:cs typeface="Arial" panose="020B0604020202020204"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273842</xdr:colOff>
      <xdr:row>9</xdr:row>
      <xdr:rowOff>0</xdr:rowOff>
    </xdr:from>
    <xdr:to>
      <xdr:col>12</xdr:col>
      <xdr:colOff>133349</xdr:colOff>
      <xdr:row>31</xdr:row>
      <xdr:rowOff>97185</xdr:rowOff>
    </xdr:to>
    <xdr:pic>
      <xdr:nvPicPr>
        <xdr:cNvPr id="2" name="Picture 1">
          <a:extLst>
            <a:ext uri="{FF2B5EF4-FFF2-40B4-BE49-F238E27FC236}">
              <a16:creationId xmlns:a16="http://schemas.microsoft.com/office/drawing/2014/main" id="{47706A24-2AA5-4126-A715-3533505464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0" r="330"/>
        <a:stretch/>
      </xdr:blipFill>
      <xdr:spPr>
        <a:xfrm>
          <a:off x="883442" y="2733675"/>
          <a:ext cx="6565107" cy="4288185"/>
        </a:xfrm>
        <a:prstGeom prst="rect">
          <a:avLst/>
        </a:prstGeom>
      </xdr:spPr>
    </xdr:pic>
    <xdr:clientData/>
  </xdr:twoCellAnchor>
  <xdr:twoCellAnchor>
    <xdr:from>
      <xdr:col>1</xdr:col>
      <xdr:colOff>107154</xdr:colOff>
      <xdr:row>9</xdr:row>
      <xdr:rowOff>71428</xdr:rowOff>
    </xdr:from>
    <xdr:to>
      <xdr:col>2</xdr:col>
      <xdr:colOff>288129</xdr:colOff>
      <xdr:row>12</xdr:row>
      <xdr:rowOff>23803</xdr:rowOff>
    </xdr:to>
    <xdr:sp macro="" textlink="">
      <xdr:nvSpPr>
        <xdr:cNvPr id="3" name="TextBox 2">
          <a:extLst>
            <a:ext uri="{FF2B5EF4-FFF2-40B4-BE49-F238E27FC236}">
              <a16:creationId xmlns:a16="http://schemas.microsoft.com/office/drawing/2014/main" id="{2AE2B4C6-DFB8-4B54-BF8F-61570B60A9D1}"/>
            </a:ext>
          </a:extLst>
        </xdr:cNvPr>
        <xdr:cNvSpPr txBox="1"/>
      </xdr:nvSpPr>
      <xdr:spPr>
        <a:xfrm>
          <a:off x="748504" y="2770178"/>
          <a:ext cx="822325"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Arial" panose="020B0604020202020204" pitchFamily="34" charset="0"/>
              <a:cs typeface="Arial" panose="020B0604020202020204" pitchFamily="34" charset="0"/>
            </a:rPr>
            <a:t>Figure 1:</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101601</xdr:colOff>
      <xdr:row>4</xdr:row>
      <xdr:rowOff>117</xdr:rowOff>
    </xdr:from>
    <xdr:to>
      <xdr:col>28</xdr:col>
      <xdr:colOff>511175</xdr:colOff>
      <xdr:row>26</xdr:row>
      <xdr:rowOff>75815</xdr:rowOff>
    </xdr:to>
    <xdr:pic>
      <xdr:nvPicPr>
        <xdr:cNvPr id="2" name="Picture 1">
          <a:extLst>
            <a:ext uri="{FF2B5EF4-FFF2-40B4-BE49-F238E27FC236}">
              <a16:creationId xmlns:a16="http://schemas.microsoft.com/office/drawing/2014/main" id="{CC6348C9-53BF-4A30-9027-288F1077AC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397876" y="752592"/>
          <a:ext cx="9467849" cy="6657473"/>
        </a:xfrm>
        <a:prstGeom prst="rect">
          <a:avLst/>
        </a:prstGeom>
        <a:noFill/>
        <a:ln w="38100">
          <a:solidFill>
            <a:srgbClr val="449669"/>
          </a:solidFill>
        </a:ln>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98066</xdr:colOff>
      <xdr:row>13</xdr:row>
      <xdr:rowOff>174224</xdr:rowOff>
    </xdr:from>
    <xdr:to>
      <xdr:col>4</xdr:col>
      <xdr:colOff>564810</xdr:colOff>
      <xdr:row>17</xdr:row>
      <xdr:rowOff>148570</xdr:rowOff>
    </xdr:to>
    <xdr:sp macro="" textlink="">
      <xdr:nvSpPr>
        <xdr:cNvPr id="2" name="TextBox 7">
          <a:extLst>
            <a:ext uri="{FF2B5EF4-FFF2-40B4-BE49-F238E27FC236}">
              <a16:creationId xmlns:a16="http://schemas.microsoft.com/office/drawing/2014/main" id="{0F9315BF-B0FE-4151-91E4-C3DBBF1EF865}"/>
            </a:ext>
          </a:extLst>
        </xdr:cNvPr>
        <xdr:cNvSpPr txBox="1"/>
      </xdr:nvSpPr>
      <xdr:spPr>
        <a:xfrm>
          <a:off x="2142766" y="2498324"/>
          <a:ext cx="1108094" cy="7109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1</a:t>
          </a:r>
        </a:p>
        <a:p>
          <a:r>
            <a:rPr lang="en-GB" sz="1100" b="0">
              <a:latin typeface="Arial" panose="020B0604020202020204" pitchFamily="34" charset="0"/>
              <a:cs typeface="Arial" panose="020B0604020202020204" pitchFamily="34" charset="0"/>
            </a:rPr>
            <a:t>Nutrient loading from additional wastewater </a:t>
          </a:r>
        </a:p>
      </xdr:txBody>
    </xdr:sp>
    <xdr:clientData/>
  </xdr:twoCellAnchor>
  <xdr:twoCellAnchor>
    <xdr:from>
      <xdr:col>5</xdr:col>
      <xdr:colOff>73920</xdr:colOff>
      <xdr:row>13</xdr:row>
      <xdr:rowOff>183749</xdr:rowOff>
    </xdr:from>
    <xdr:to>
      <xdr:col>6</xdr:col>
      <xdr:colOff>542130</xdr:colOff>
      <xdr:row>17</xdr:row>
      <xdr:rowOff>158095</xdr:rowOff>
    </xdr:to>
    <xdr:sp macro="" textlink="">
      <xdr:nvSpPr>
        <xdr:cNvPr id="3" name="TextBox 14">
          <a:extLst>
            <a:ext uri="{FF2B5EF4-FFF2-40B4-BE49-F238E27FC236}">
              <a16:creationId xmlns:a16="http://schemas.microsoft.com/office/drawing/2014/main" id="{9F67D957-8E0B-4477-8101-ACF4D307D672}"/>
            </a:ext>
          </a:extLst>
        </xdr:cNvPr>
        <xdr:cNvSpPr txBox="1"/>
      </xdr:nvSpPr>
      <xdr:spPr>
        <a:xfrm>
          <a:off x="3401320" y="2507849"/>
          <a:ext cx="1109560" cy="7109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2</a:t>
          </a:r>
        </a:p>
        <a:p>
          <a:r>
            <a:rPr lang="en-GB" sz="1100">
              <a:latin typeface="Arial" panose="020B0604020202020204" pitchFamily="34" charset="0"/>
              <a:cs typeface="Arial" panose="020B0604020202020204" pitchFamily="34" charset="0"/>
            </a:rPr>
            <a:t>Nutrient loading from current land use</a:t>
          </a:r>
        </a:p>
      </xdr:txBody>
    </xdr:sp>
    <xdr:clientData/>
  </xdr:twoCellAnchor>
  <xdr:twoCellAnchor>
    <xdr:from>
      <xdr:col>7</xdr:col>
      <xdr:colOff>62963</xdr:colOff>
      <xdr:row>13</xdr:row>
      <xdr:rowOff>183749</xdr:rowOff>
    </xdr:from>
    <xdr:to>
      <xdr:col>8</xdr:col>
      <xdr:colOff>529708</xdr:colOff>
      <xdr:row>17</xdr:row>
      <xdr:rowOff>158095</xdr:rowOff>
    </xdr:to>
    <xdr:sp macro="" textlink="">
      <xdr:nvSpPr>
        <xdr:cNvPr id="4" name="TextBox 15">
          <a:extLst>
            <a:ext uri="{FF2B5EF4-FFF2-40B4-BE49-F238E27FC236}">
              <a16:creationId xmlns:a16="http://schemas.microsoft.com/office/drawing/2014/main" id="{3E2986AF-4BD5-4CF2-9168-7D85A727B49F}"/>
            </a:ext>
          </a:extLst>
        </xdr:cNvPr>
        <xdr:cNvSpPr txBox="1"/>
      </xdr:nvSpPr>
      <xdr:spPr>
        <a:xfrm>
          <a:off x="4673063" y="2507849"/>
          <a:ext cx="1108095" cy="7109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3</a:t>
          </a:r>
        </a:p>
        <a:p>
          <a:r>
            <a:rPr lang="en-GB" sz="1100">
              <a:latin typeface="Arial" panose="020B0604020202020204" pitchFamily="34" charset="0"/>
              <a:cs typeface="Arial" panose="020B0604020202020204" pitchFamily="34" charset="0"/>
            </a:rPr>
            <a:t>Nutrient loading from future land use</a:t>
          </a:r>
        </a:p>
      </xdr:txBody>
    </xdr:sp>
    <xdr:clientData/>
  </xdr:twoCellAnchor>
  <xdr:twoCellAnchor>
    <xdr:from>
      <xdr:col>9</xdr:col>
      <xdr:colOff>48338</xdr:colOff>
      <xdr:row>14</xdr:row>
      <xdr:rowOff>12299</xdr:rowOff>
    </xdr:from>
    <xdr:to>
      <xdr:col>10</xdr:col>
      <xdr:colOff>515083</xdr:colOff>
      <xdr:row>17</xdr:row>
      <xdr:rowOff>13575</xdr:rowOff>
    </xdr:to>
    <xdr:sp macro="" textlink="">
      <xdr:nvSpPr>
        <xdr:cNvPr id="5" name="TextBox 16">
          <a:extLst>
            <a:ext uri="{FF2B5EF4-FFF2-40B4-BE49-F238E27FC236}">
              <a16:creationId xmlns:a16="http://schemas.microsoft.com/office/drawing/2014/main" id="{2A3A3C2F-5991-4DC1-8B59-FE5266602495}"/>
            </a:ext>
          </a:extLst>
        </xdr:cNvPr>
        <xdr:cNvSpPr txBox="1"/>
      </xdr:nvSpPr>
      <xdr:spPr>
        <a:xfrm>
          <a:off x="5941138" y="2520549"/>
          <a:ext cx="1108095" cy="55372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4</a:t>
          </a:r>
        </a:p>
        <a:p>
          <a:r>
            <a:rPr lang="en-GB" sz="1100">
              <a:latin typeface="Arial" panose="020B0604020202020204" pitchFamily="34" charset="0"/>
              <a:cs typeface="Arial" panose="020B0604020202020204" pitchFamily="34" charset="0"/>
            </a:rPr>
            <a:t>Nutrient budget calculation</a:t>
          </a:r>
        </a:p>
      </xdr:txBody>
    </xdr:sp>
    <xdr:clientData/>
  </xdr:twoCellAnchor>
  <xdr:twoCellAnchor editAs="oneCell">
    <xdr:from>
      <xdr:col>3</xdr:col>
      <xdr:colOff>0</xdr:colOff>
      <xdr:row>8</xdr:row>
      <xdr:rowOff>123826</xdr:rowOff>
    </xdr:from>
    <xdr:to>
      <xdr:col>5</xdr:col>
      <xdr:colOff>66676</xdr:colOff>
      <xdr:row>14</xdr:row>
      <xdr:rowOff>35163</xdr:rowOff>
    </xdr:to>
    <xdr:pic>
      <xdr:nvPicPr>
        <xdr:cNvPr id="6" name="Picture 5">
          <a:hlinkClick xmlns:r="http://schemas.openxmlformats.org/officeDocument/2006/relationships" r:id="rId1"/>
          <a:extLst>
            <a:ext uri="{FF2B5EF4-FFF2-40B4-BE49-F238E27FC236}">
              <a16:creationId xmlns:a16="http://schemas.microsoft.com/office/drawing/2014/main" id="{9B57CA55-0849-4BC6-9E5A-C096F46AB1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44700" y="1527176"/>
          <a:ext cx="1346201" cy="1000362"/>
        </a:xfrm>
        <a:prstGeom prst="rect">
          <a:avLst/>
        </a:prstGeom>
      </xdr:spPr>
    </xdr:pic>
    <xdr:clientData/>
  </xdr:twoCellAnchor>
  <xdr:twoCellAnchor editAs="oneCell">
    <xdr:from>
      <xdr:col>6</xdr:col>
      <xdr:colOff>569393</xdr:colOff>
      <xdr:row>8</xdr:row>
      <xdr:rowOff>121426</xdr:rowOff>
    </xdr:from>
    <xdr:to>
      <xdr:col>9</xdr:col>
      <xdr:colOff>36288</xdr:colOff>
      <xdr:row>14</xdr:row>
      <xdr:rowOff>29656</xdr:rowOff>
    </xdr:to>
    <xdr:pic>
      <xdr:nvPicPr>
        <xdr:cNvPr id="7" name="Picture 6">
          <a:hlinkClick xmlns:r="http://schemas.openxmlformats.org/officeDocument/2006/relationships" r:id="rId3"/>
          <a:extLst>
            <a:ext uri="{FF2B5EF4-FFF2-40B4-BE49-F238E27FC236}">
              <a16:creationId xmlns:a16="http://schemas.microsoft.com/office/drawing/2014/main" id="{BD8FB76E-7242-423F-82FE-C69838EC39C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38143" y="1524776"/>
          <a:ext cx="1381420" cy="994080"/>
        </a:xfrm>
        <a:prstGeom prst="rect">
          <a:avLst/>
        </a:prstGeom>
      </xdr:spPr>
    </xdr:pic>
    <xdr:clientData/>
  </xdr:twoCellAnchor>
  <xdr:twoCellAnchor editAs="oneCell">
    <xdr:from>
      <xdr:col>4</xdr:col>
      <xdr:colOff>586978</xdr:colOff>
      <xdr:row>8</xdr:row>
      <xdr:rowOff>0</xdr:rowOff>
    </xdr:from>
    <xdr:to>
      <xdr:col>7</xdr:col>
      <xdr:colOff>56113</xdr:colOff>
      <xdr:row>13</xdr:row>
      <xdr:rowOff>85739</xdr:rowOff>
    </xdr:to>
    <xdr:pic>
      <xdr:nvPicPr>
        <xdr:cNvPr id="8" name="Picture 7">
          <a:hlinkClick xmlns:r="http://schemas.openxmlformats.org/officeDocument/2006/relationships" r:id="rId5"/>
          <a:extLst>
            <a:ext uri="{FF2B5EF4-FFF2-40B4-BE49-F238E27FC236}">
              <a16:creationId xmlns:a16="http://schemas.microsoft.com/office/drawing/2014/main" id="{B64A4CE5-C45F-4F75-82F2-E00611EF4DE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73028" y="1403350"/>
          <a:ext cx="1386835" cy="987439"/>
        </a:xfrm>
        <a:prstGeom prst="rect">
          <a:avLst/>
        </a:prstGeom>
      </xdr:spPr>
    </xdr:pic>
    <xdr:clientData/>
  </xdr:twoCellAnchor>
  <xdr:twoCellAnchor editAs="oneCell">
    <xdr:from>
      <xdr:col>8</xdr:col>
      <xdr:colOff>552868</xdr:colOff>
      <xdr:row>8</xdr:row>
      <xdr:rowOff>0</xdr:rowOff>
    </xdr:from>
    <xdr:to>
      <xdr:col>11</xdr:col>
      <xdr:colOff>28313</xdr:colOff>
      <xdr:row>13</xdr:row>
      <xdr:rowOff>86194</xdr:rowOff>
    </xdr:to>
    <xdr:pic>
      <xdr:nvPicPr>
        <xdr:cNvPr id="9" name="Picture 8">
          <a:hlinkClick xmlns:r="http://schemas.openxmlformats.org/officeDocument/2006/relationships" r:id="rId7"/>
          <a:extLst>
            <a:ext uri="{FF2B5EF4-FFF2-40B4-BE49-F238E27FC236}">
              <a16:creationId xmlns:a16="http://schemas.microsoft.com/office/drawing/2014/main" id="{56E04DF1-9DE5-47C4-B75B-BF9C008548F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804318" y="1403350"/>
          <a:ext cx="1393145" cy="994244"/>
        </a:xfrm>
        <a:prstGeom prst="rect">
          <a:avLst/>
        </a:prstGeom>
      </xdr:spPr>
    </xdr:pic>
    <xdr:clientData/>
  </xdr:twoCellAnchor>
  <xdr:twoCellAnchor editAs="oneCell">
    <xdr:from>
      <xdr:col>0</xdr:col>
      <xdr:colOff>373254</xdr:colOff>
      <xdr:row>66</xdr:row>
      <xdr:rowOff>99703</xdr:rowOff>
    </xdr:from>
    <xdr:to>
      <xdr:col>12</xdr:col>
      <xdr:colOff>523876</xdr:colOff>
      <xdr:row>70</xdr:row>
      <xdr:rowOff>256081</xdr:rowOff>
    </xdr:to>
    <xdr:pic>
      <xdr:nvPicPr>
        <xdr:cNvPr id="10" name="Picture 9">
          <a:extLst>
            <a:ext uri="{FF2B5EF4-FFF2-40B4-BE49-F238E27FC236}">
              <a16:creationId xmlns:a16="http://schemas.microsoft.com/office/drawing/2014/main" id="{EF383377-FDFD-4AC8-AB5D-305F8027E14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73254" y="17593953"/>
          <a:ext cx="7938897" cy="1794678"/>
        </a:xfrm>
        <a:prstGeom prst="rect">
          <a:avLst/>
        </a:prstGeom>
      </xdr:spPr>
    </xdr:pic>
    <xdr:clientData/>
  </xdr:twoCellAnchor>
  <xdr:twoCellAnchor editAs="oneCell">
    <xdr:from>
      <xdr:col>2</xdr:col>
      <xdr:colOff>561977</xdr:colOff>
      <xdr:row>27</xdr:row>
      <xdr:rowOff>104779</xdr:rowOff>
    </xdr:from>
    <xdr:to>
      <xdr:col>11</xdr:col>
      <xdr:colOff>101906</xdr:colOff>
      <xdr:row>35</xdr:row>
      <xdr:rowOff>428625</xdr:rowOff>
    </xdr:to>
    <xdr:pic>
      <xdr:nvPicPr>
        <xdr:cNvPr id="11" name="Picture 10">
          <a:extLst>
            <a:ext uri="{FF2B5EF4-FFF2-40B4-BE49-F238E27FC236}">
              <a16:creationId xmlns:a16="http://schemas.microsoft.com/office/drawing/2014/main" id="{D802F7AE-5D34-4E7F-8F7E-4031E3BDA069}"/>
            </a:ext>
          </a:extLst>
        </xdr:cNvPr>
        <xdr:cNvPicPr>
          <a:picLocks noChangeAspect="1"/>
        </xdr:cNvPicPr>
      </xdr:nvPicPr>
      <xdr:blipFill rotWithShape="1">
        <a:blip xmlns:r="http://schemas.openxmlformats.org/officeDocument/2006/relationships" r:embed="rId10"/>
        <a:srcRect l="51428" t="38163" r="34591" b="44722"/>
        <a:stretch/>
      </xdr:blipFill>
      <xdr:spPr>
        <a:xfrm>
          <a:off x="1844677" y="5127629"/>
          <a:ext cx="5407329" cy="17144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2</xdr:row>
      <xdr:rowOff>57149</xdr:rowOff>
    </xdr:from>
    <xdr:to>
      <xdr:col>3</xdr:col>
      <xdr:colOff>0</xdr:colOff>
      <xdr:row>4</xdr:row>
      <xdr:rowOff>72149</xdr:rowOff>
    </xdr:to>
    <xdr:sp macro="" textlink="">
      <xdr:nvSpPr>
        <xdr:cNvPr id="2" name="TextBox 1">
          <a:extLst>
            <a:ext uri="{FF2B5EF4-FFF2-40B4-BE49-F238E27FC236}">
              <a16:creationId xmlns:a16="http://schemas.microsoft.com/office/drawing/2014/main" id="{F6659CFF-5286-40D7-98F4-B757E28119DB}"/>
            </a:ext>
          </a:extLst>
        </xdr:cNvPr>
        <xdr:cNvSpPr txBox="1"/>
      </xdr:nvSpPr>
      <xdr:spPr>
        <a:xfrm>
          <a:off x="628650" y="438149"/>
          <a:ext cx="3629025" cy="396000"/>
        </a:xfrm>
        <a:prstGeom prst="rect">
          <a:avLst/>
        </a:prstGeom>
        <a:solidFill>
          <a:schemeClr val="lt1"/>
        </a:solidFill>
        <a:ln w="38100" cmpd="sng">
          <a:solidFill>
            <a:srgbClr val="44966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800" b="1">
              <a:solidFill>
                <a:srgbClr val="449669"/>
              </a:solidFill>
              <a:effectLst/>
              <a:latin typeface="Century Gothic" panose="020B0502020202020204" pitchFamily="34" charset="0"/>
              <a:ea typeface="+mn-ea"/>
              <a:cs typeface="+mn-cs"/>
            </a:rPr>
            <a:t>Stage</a:t>
          </a:r>
          <a:r>
            <a:rPr lang="en-GB" sz="1800" b="1" baseline="0">
              <a:solidFill>
                <a:srgbClr val="449669"/>
              </a:solidFill>
              <a:effectLst/>
              <a:latin typeface="Century Gothic" panose="020B0502020202020204" pitchFamily="34" charset="0"/>
              <a:ea typeface="+mn-ea"/>
              <a:cs typeface="+mn-cs"/>
            </a:rPr>
            <a:t> 4</a:t>
          </a:r>
          <a:endParaRPr lang="en-GB" sz="1800" b="1">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0</xdr:col>
      <xdr:colOff>552450</xdr:colOff>
      <xdr:row>4</xdr:row>
      <xdr:rowOff>180975</xdr:rowOff>
    </xdr:from>
    <xdr:to>
      <xdr:col>3</xdr:col>
      <xdr:colOff>66675</xdr:colOff>
      <xdr:row>6</xdr:row>
      <xdr:rowOff>133349</xdr:rowOff>
    </xdr:to>
    <xdr:sp macro="" textlink="">
      <xdr:nvSpPr>
        <xdr:cNvPr id="3" name="TextBox 2">
          <a:extLst>
            <a:ext uri="{FF2B5EF4-FFF2-40B4-BE49-F238E27FC236}">
              <a16:creationId xmlns:a16="http://schemas.microsoft.com/office/drawing/2014/main" id="{DC6F458F-5243-4801-8D6D-68E79E45F72B}"/>
            </a:ext>
          </a:extLst>
        </xdr:cNvPr>
        <xdr:cNvSpPr txBox="1"/>
      </xdr:nvSpPr>
      <xdr:spPr>
        <a:xfrm>
          <a:off x="552450" y="942975"/>
          <a:ext cx="3771900" cy="361949"/>
        </a:xfrm>
        <a:prstGeom prst="rect">
          <a:avLst/>
        </a:prstGeom>
        <a:solidFill>
          <a:schemeClr val="lt1"/>
        </a:solid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ysClr val="windowText" lastClr="000000"/>
              </a:solidFill>
              <a:effectLst/>
              <a:latin typeface="Century Gothic" panose="020B0502020202020204" pitchFamily="34" charset="0"/>
              <a:ea typeface="+mn-ea"/>
              <a:cs typeface="+mn-cs"/>
            </a:rPr>
            <a:t>Calculated</a:t>
          </a:r>
          <a:r>
            <a:rPr lang="en-GB" sz="1200" b="1" baseline="0">
              <a:solidFill>
                <a:sysClr val="windowText" lastClr="000000"/>
              </a:solidFill>
              <a:effectLst/>
              <a:latin typeface="Century Gothic" panose="020B0502020202020204" pitchFamily="34" charset="0"/>
              <a:ea typeface="+mn-ea"/>
              <a:cs typeface="+mn-cs"/>
            </a:rPr>
            <a:t> </a:t>
          </a:r>
          <a:r>
            <a:rPr lang="en-GB" sz="1200" b="1">
              <a:solidFill>
                <a:sysClr val="windowText" lastClr="000000"/>
              </a:solidFill>
              <a:effectLst/>
              <a:latin typeface="Century Gothic" panose="020B0502020202020204" pitchFamily="34" charset="0"/>
              <a:ea typeface="+mn-ea"/>
              <a:cs typeface="+mn-cs"/>
            </a:rPr>
            <a:t>Outputs</a:t>
          </a:r>
          <a:endParaRPr lang="en-GB" sz="1200" b="1">
            <a:solidFill>
              <a:sysClr val="windowText" lastClr="000000"/>
            </a:solidFill>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1</xdr:col>
      <xdr:colOff>1558556</xdr:colOff>
      <xdr:row>5</xdr:row>
      <xdr:rowOff>19050</xdr:rowOff>
    </xdr:from>
    <xdr:to>
      <xdr:col>2</xdr:col>
      <xdr:colOff>257618</xdr:colOff>
      <xdr:row>5</xdr:row>
      <xdr:rowOff>19050</xdr:rowOff>
    </xdr:to>
    <xdr:cxnSp macro="">
      <xdr:nvCxnSpPr>
        <xdr:cNvPr id="4" name="Straight Connector 3">
          <a:extLst>
            <a:ext uri="{FF2B5EF4-FFF2-40B4-BE49-F238E27FC236}">
              <a16:creationId xmlns:a16="http://schemas.microsoft.com/office/drawing/2014/main" id="{935094C3-62FA-4563-A21D-C0A8CA6D4D15}"/>
            </a:ext>
          </a:extLst>
        </xdr:cNvPr>
        <xdr:cNvCxnSpPr/>
      </xdr:nvCxnSpPr>
      <xdr:spPr>
        <a:xfrm>
          <a:off x="2168156" y="971550"/>
          <a:ext cx="556437"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1558556</xdr:colOff>
      <xdr:row>6</xdr:row>
      <xdr:rowOff>95250</xdr:rowOff>
    </xdr:from>
    <xdr:to>
      <xdr:col>2</xdr:col>
      <xdr:colOff>257618</xdr:colOff>
      <xdr:row>6</xdr:row>
      <xdr:rowOff>95250</xdr:rowOff>
    </xdr:to>
    <xdr:cxnSp macro="">
      <xdr:nvCxnSpPr>
        <xdr:cNvPr id="5" name="Straight Connector 4">
          <a:extLst>
            <a:ext uri="{FF2B5EF4-FFF2-40B4-BE49-F238E27FC236}">
              <a16:creationId xmlns:a16="http://schemas.microsoft.com/office/drawing/2014/main" id="{4BE1D860-027E-463E-9523-BF967B628009}"/>
            </a:ext>
          </a:extLst>
        </xdr:cNvPr>
        <xdr:cNvCxnSpPr/>
      </xdr:nvCxnSpPr>
      <xdr:spPr>
        <a:xfrm>
          <a:off x="2168156" y="1266825"/>
          <a:ext cx="556437"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174266</xdr:colOff>
      <xdr:row>18</xdr:row>
      <xdr:rowOff>69449</xdr:rowOff>
    </xdr:from>
    <xdr:to>
      <xdr:col>10</xdr:col>
      <xdr:colOff>164760</xdr:colOff>
      <xdr:row>20</xdr:row>
      <xdr:rowOff>28450</xdr:rowOff>
    </xdr:to>
    <xdr:sp macro="" textlink="">
      <xdr:nvSpPr>
        <xdr:cNvPr id="6" name="TextBox 7">
          <a:extLst>
            <a:ext uri="{FF2B5EF4-FFF2-40B4-BE49-F238E27FC236}">
              <a16:creationId xmlns:a16="http://schemas.microsoft.com/office/drawing/2014/main" id="{A33283A2-3285-46F7-84EB-4AA89F75F0AF}"/>
            </a:ext>
          </a:extLst>
        </xdr:cNvPr>
        <xdr:cNvSpPr txBox="1"/>
      </xdr:nvSpPr>
      <xdr:spPr>
        <a:xfrm>
          <a:off x="8099066" y="3879449"/>
          <a:ext cx="1076344" cy="397151"/>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1</a:t>
          </a:r>
        </a:p>
        <a:p>
          <a:r>
            <a:rPr lang="en-GB" sz="1100" b="0">
              <a:latin typeface="Arial" panose="020B0604020202020204" pitchFamily="34" charset="0"/>
              <a:cs typeface="Arial" panose="020B0604020202020204" pitchFamily="34" charset="0"/>
            </a:rPr>
            <a:t>Value:</a:t>
          </a:r>
        </a:p>
      </xdr:txBody>
    </xdr:sp>
    <xdr:clientData/>
  </xdr:twoCellAnchor>
  <xdr:twoCellAnchor>
    <xdr:from>
      <xdr:col>10</xdr:col>
      <xdr:colOff>283470</xdr:colOff>
      <xdr:row>18</xdr:row>
      <xdr:rowOff>78974</xdr:rowOff>
    </xdr:from>
    <xdr:to>
      <xdr:col>12</xdr:col>
      <xdr:colOff>142080</xdr:colOff>
      <xdr:row>21</xdr:row>
      <xdr:rowOff>158095</xdr:rowOff>
    </xdr:to>
    <xdr:sp macro="" textlink="">
      <xdr:nvSpPr>
        <xdr:cNvPr id="7" name="TextBox 14">
          <a:extLst>
            <a:ext uri="{FF2B5EF4-FFF2-40B4-BE49-F238E27FC236}">
              <a16:creationId xmlns:a16="http://schemas.microsoft.com/office/drawing/2014/main" id="{568BEE80-E58D-4EA6-8C38-17AB8BAA4BAA}"/>
            </a:ext>
          </a:extLst>
        </xdr:cNvPr>
        <xdr:cNvSpPr txBox="1"/>
      </xdr:nvSpPr>
      <xdr:spPr>
        <a:xfrm>
          <a:off x="9294120" y="3888974"/>
          <a:ext cx="1077810" cy="7363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2</a:t>
          </a:r>
        </a:p>
        <a:p>
          <a:r>
            <a:rPr lang="en-GB" sz="1100">
              <a:latin typeface="Arial" panose="020B0604020202020204" pitchFamily="34" charset="0"/>
              <a:cs typeface="Arial" panose="020B0604020202020204" pitchFamily="34" charset="0"/>
            </a:rPr>
            <a:t>Nutrient loading from current land use</a:t>
          </a:r>
        </a:p>
      </xdr:txBody>
    </xdr:sp>
    <xdr:clientData/>
  </xdr:twoCellAnchor>
  <xdr:twoCellAnchor>
    <xdr:from>
      <xdr:col>12</xdr:col>
      <xdr:colOff>272513</xdr:colOff>
      <xdr:row>18</xdr:row>
      <xdr:rowOff>78974</xdr:rowOff>
    </xdr:from>
    <xdr:to>
      <xdr:col>14</xdr:col>
      <xdr:colOff>129658</xdr:colOff>
      <xdr:row>21</xdr:row>
      <xdr:rowOff>158095</xdr:rowOff>
    </xdr:to>
    <xdr:sp macro="" textlink="">
      <xdr:nvSpPr>
        <xdr:cNvPr id="8" name="TextBox 15">
          <a:extLst>
            <a:ext uri="{FF2B5EF4-FFF2-40B4-BE49-F238E27FC236}">
              <a16:creationId xmlns:a16="http://schemas.microsoft.com/office/drawing/2014/main" id="{16337382-E2DF-4335-9BD5-709929421A4C}"/>
            </a:ext>
          </a:extLst>
        </xdr:cNvPr>
        <xdr:cNvSpPr txBox="1"/>
      </xdr:nvSpPr>
      <xdr:spPr>
        <a:xfrm>
          <a:off x="10502363" y="3888974"/>
          <a:ext cx="1076345" cy="7363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3</a:t>
          </a:r>
        </a:p>
        <a:p>
          <a:r>
            <a:rPr lang="en-GB" sz="1100">
              <a:latin typeface="Arial" panose="020B0604020202020204" pitchFamily="34" charset="0"/>
              <a:cs typeface="Arial" panose="020B0604020202020204" pitchFamily="34" charset="0"/>
            </a:rPr>
            <a:t>Nutrient loading from future land use</a:t>
          </a:r>
        </a:p>
      </xdr:txBody>
    </xdr:sp>
    <xdr:clientData/>
  </xdr:twoCellAnchor>
  <xdr:twoCellAnchor>
    <xdr:from>
      <xdr:col>14</xdr:col>
      <xdr:colOff>257888</xdr:colOff>
      <xdr:row>18</xdr:row>
      <xdr:rowOff>98024</xdr:rowOff>
    </xdr:from>
    <xdr:to>
      <xdr:col>16</xdr:col>
      <xdr:colOff>115033</xdr:colOff>
      <xdr:row>21</xdr:row>
      <xdr:rowOff>13575</xdr:rowOff>
    </xdr:to>
    <xdr:sp macro="" textlink="">
      <xdr:nvSpPr>
        <xdr:cNvPr id="9" name="TextBox 16">
          <a:extLst>
            <a:ext uri="{FF2B5EF4-FFF2-40B4-BE49-F238E27FC236}">
              <a16:creationId xmlns:a16="http://schemas.microsoft.com/office/drawing/2014/main" id="{FB53914C-1439-4AB8-92D7-6CA707289620}"/>
            </a:ext>
          </a:extLst>
        </xdr:cNvPr>
        <xdr:cNvSpPr txBox="1"/>
      </xdr:nvSpPr>
      <xdr:spPr>
        <a:xfrm>
          <a:off x="11706938" y="3908024"/>
          <a:ext cx="1076345" cy="57277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4</a:t>
          </a:r>
        </a:p>
        <a:p>
          <a:r>
            <a:rPr lang="en-GB" sz="1100">
              <a:latin typeface="Arial" panose="020B0604020202020204" pitchFamily="34" charset="0"/>
              <a:cs typeface="Arial" panose="020B0604020202020204" pitchFamily="34" charset="0"/>
            </a:rPr>
            <a:t>Nutrient budget calculation</a:t>
          </a:r>
        </a:p>
      </xdr:txBody>
    </xdr:sp>
    <xdr:clientData/>
  </xdr:twoCellAnchor>
  <xdr:twoCellAnchor editAs="oneCell">
    <xdr:from>
      <xdr:col>8</xdr:col>
      <xdr:colOff>76200</xdr:colOff>
      <xdr:row>13</xdr:row>
      <xdr:rowOff>76201</xdr:rowOff>
    </xdr:from>
    <xdr:to>
      <xdr:col>10</xdr:col>
      <xdr:colOff>276226</xdr:colOff>
      <xdr:row>18</xdr:row>
      <xdr:rowOff>84282</xdr:rowOff>
    </xdr:to>
    <xdr:pic>
      <xdr:nvPicPr>
        <xdr:cNvPr id="10" name="Picture 9">
          <a:hlinkClick xmlns:r="http://schemas.openxmlformats.org/officeDocument/2006/relationships" r:id="rId1"/>
          <a:extLst>
            <a:ext uri="{FF2B5EF4-FFF2-40B4-BE49-F238E27FC236}">
              <a16:creationId xmlns:a16="http://schemas.microsoft.com/office/drawing/2014/main" id="{CF9F181F-F076-4A15-9A81-9FFA380081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1000" y="2876551"/>
          <a:ext cx="1285876" cy="1017731"/>
        </a:xfrm>
        <a:prstGeom prst="rect">
          <a:avLst/>
        </a:prstGeom>
      </xdr:spPr>
    </xdr:pic>
    <xdr:clientData/>
  </xdr:twoCellAnchor>
  <xdr:twoCellAnchor editAs="oneCell">
    <xdr:from>
      <xdr:col>12</xdr:col>
      <xdr:colOff>169343</xdr:colOff>
      <xdr:row>13</xdr:row>
      <xdr:rowOff>73801</xdr:rowOff>
    </xdr:from>
    <xdr:to>
      <xdr:col>14</xdr:col>
      <xdr:colOff>242663</xdr:colOff>
      <xdr:row>18</xdr:row>
      <xdr:rowOff>88300</xdr:rowOff>
    </xdr:to>
    <xdr:pic>
      <xdr:nvPicPr>
        <xdr:cNvPr id="11" name="Picture 10">
          <a:hlinkClick xmlns:r="http://schemas.openxmlformats.org/officeDocument/2006/relationships" r:id="rId3"/>
          <a:extLst>
            <a:ext uri="{FF2B5EF4-FFF2-40B4-BE49-F238E27FC236}">
              <a16:creationId xmlns:a16="http://schemas.microsoft.com/office/drawing/2014/main" id="{E398EA38-93DD-45FF-9C31-D9A63D84641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99193" y="2874151"/>
          <a:ext cx="1292520" cy="1024149"/>
        </a:xfrm>
        <a:prstGeom prst="rect">
          <a:avLst/>
        </a:prstGeom>
      </xdr:spPr>
    </xdr:pic>
    <xdr:clientData/>
  </xdr:twoCellAnchor>
  <xdr:twoCellAnchor editAs="oneCell">
    <xdr:from>
      <xdr:col>10</xdr:col>
      <xdr:colOff>186928</xdr:colOff>
      <xdr:row>12</xdr:row>
      <xdr:rowOff>95250</xdr:rowOff>
    </xdr:from>
    <xdr:to>
      <xdr:col>12</xdr:col>
      <xdr:colOff>259313</xdr:colOff>
      <xdr:row>17</xdr:row>
      <xdr:rowOff>161939</xdr:rowOff>
    </xdr:to>
    <xdr:pic>
      <xdr:nvPicPr>
        <xdr:cNvPr id="12" name="Picture 11">
          <a:hlinkClick xmlns:r="http://schemas.openxmlformats.org/officeDocument/2006/relationships" r:id="rId5"/>
          <a:extLst>
            <a:ext uri="{FF2B5EF4-FFF2-40B4-BE49-F238E27FC236}">
              <a16:creationId xmlns:a16="http://schemas.microsoft.com/office/drawing/2014/main" id="{4A9C62A6-3D7B-4731-AAFB-011BA62AB70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197578" y="2752725"/>
          <a:ext cx="1291585" cy="1019189"/>
        </a:xfrm>
        <a:prstGeom prst="rect">
          <a:avLst/>
        </a:prstGeom>
      </xdr:spPr>
    </xdr:pic>
    <xdr:clientData/>
  </xdr:twoCellAnchor>
  <xdr:twoCellAnchor editAs="oneCell">
    <xdr:from>
      <xdr:col>14</xdr:col>
      <xdr:colOff>152818</xdr:colOff>
      <xdr:row>12</xdr:row>
      <xdr:rowOff>95250</xdr:rowOff>
    </xdr:from>
    <xdr:to>
      <xdr:col>16</xdr:col>
      <xdr:colOff>228338</xdr:colOff>
      <xdr:row>17</xdr:row>
      <xdr:rowOff>165569</xdr:rowOff>
    </xdr:to>
    <xdr:pic>
      <xdr:nvPicPr>
        <xdr:cNvPr id="13" name="Picture 12">
          <a:hlinkClick xmlns:r="http://schemas.openxmlformats.org/officeDocument/2006/relationships" r:id="rId7"/>
          <a:extLst>
            <a:ext uri="{FF2B5EF4-FFF2-40B4-BE49-F238E27FC236}">
              <a16:creationId xmlns:a16="http://schemas.microsoft.com/office/drawing/2014/main" id="{4D499E9D-14E9-4A44-9642-E04BC704D61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601868" y="2752725"/>
          <a:ext cx="1294720" cy="10228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S56\OneDrive%20-%20Ricardo%20Plc\NE%20NN\Copy%20of%20Herefordshire%20Council%20Phosphate%20Budget%20Calculator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ge 1"/>
      <sheetName val="Stage 2"/>
      <sheetName val="Stage 3"/>
      <sheetName val="Stage 4"/>
      <sheetName val="WwTW look up"/>
      <sheetName val="Stage 2 and 3 lookups"/>
      <sheetName val="WwTW Catchment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mapapps2.bgs.ac.uk/ukso/home.html?layers=NVZEng" TargetMode="External"/><Relationship Id="rId2" Type="http://schemas.openxmlformats.org/officeDocument/2006/relationships/hyperlink" Target="http://www.landis.org.uk/soilscapes/" TargetMode="External"/><Relationship Id="rId1" Type="http://schemas.openxmlformats.org/officeDocument/2006/relationships/hyperlink" Target="http://environment.data.gov.uk/catchment-planning/" TargetMode="External"/><Relationship Id="rId6" Type="http://schemas.openxmlformats.org/officeDocument/2006/relationships/drawing" Target="../drawings/drawing4.xml"/><Relationship Id="rId5" Type="http://schemas.openxmlformats.org/officeDocument/2006/relationships/printerSettings" Target="../printerSettings/printerSettings3.bin"/><Relationship Id="rId4" Type="http://schemas.openxmlformats.org/officeDocument/2006/relationships/hyperlink" Target="https://nrfa.ceh.ac.uk/data/station/spatial/28019"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288EF-98C6-448F-AC74-23005D297FD1}">
  <dimension ref="M5:Y12"/>
  <sheetViews>
    <sheetView showGridLines="0" showRowColHeaders="0" tabSelected="1" zoomScaleNormal="100" workbookViewId="0"/>
  </sheetViews>
  <sheetFormatPr defaultColWidth="5.7109375" defaultRowHeight="28.5" customHeight="1" x14ac:dyDescent="0.25"/>
  <cols>
    <col min="1" max="12" width="5.7109375" style="2"/>
    <col min="13" max="13" width="30.28515625" style="2" bestFit="1" customWidth="1"/>
    <col min="14" max="14" width="5.7109375" style="2"/>
    <col min="15" max="15" width="4.5703125" style="2" customWidth="1"/>
    <col min="16" max="20" width="5.7109375" style="2"/>
    <col min="21" max="21" width="5.7109375" style="2" customWidth="1"/>
    <col min="22" max="16384" width="5.7109375" style="2"/>
  </cols>
  <sheetData>
    <row r="5" spans="13:25" ht="28.5" customHeight="1" x14ac:dyDescent="0.25">
      <c r="Y5"/>
    </row>
    <row r="11" spans="13:25" ht="18" customHeight="1" x14ac:dyDescent="0.25"/>
    <row r="12" spans="13:25" ht="45.75" x14ac:dyDescent="0.25">
      <c r="M12" s="103" t="s">
        <v>264</v>
      </c>
    </row>
  </sheetData>
  <sheetProtection algorithmName="SHA-512" hashValue="JjexpLbESl1h6jR90PgMiySQoz73S8nRHPb4MMUe2rn67J7J96ZnfBCwG4rYisP2wrIN+vsZBlLYG0Cctf23lw==" saltValue="DKNjTlY5uEP1HDPO2uG0Cw==" spinCount="100000" sheet="1" objects="1" scenarios="1" selectLockedCells="1" selectUnlockedCell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AA7AF-3E94-4ACD-8BCA-F732777F79B7}">
  <dimension ref="B1:P204"/>
  <sheetViews>
    <sheetView showRowColHeaders="0" zoomScaleNormal="100" workbookViewId="0"/>
  </sheetViews>
  <sheetFormatPr defaultColWidth="9.140625" defaultRowHeight="14.25" x14ac:dyDescent="0.2"/>
  <cols>
    <col min="1" max="1" width="9.140625" style="32"/>
    <col min="2" max="2" width="4.85546875" style="32" customWidth="1"/>
    <col min="3" max="3" width="44.42578125" style="32" bestFit="1" customWidth="1"/>
    <col min="4" max="4" width="31.28515625" style="32" bestFit="1" customWidth="1"/>
    <col min="5" max="5" width="34" style="32" customWidth="1"/>
    <col min="6" max="6" width="31.5703125" style="32" customWidth="1"/>
    <col min="7" max="7" width="41.85546875" style="32" customWidth="1"/>
    <col min="8" max="8" width="51.28515625" style="32" customWidth="1"/>
    <col min="9" max="9" width="46.5703125" style="32" customWidth="1"/>
    <col min="10" max="10" width="39.85546875" style="32" bestFit="1" customWidth="1"/>
    <col min="11" max="11" width="36.85546875" style="32" customWidth="1"/>
    <col min="12" max="12" width="38.140625" style="32" bestFit="1" customWidth="1"/>
    <col min="13" max="15" width="28" style="32" customWidth="1"/>
    <col min="16" max="16" width="9" style="32" customWidth="1"/>
    <col min="17" max="16384" width="9.140625" style="32"/>
  </cols>
  <sheetData>
    <row r="1" spans="2:16" ht="35.25" customHeight="1" thickBot="1" x14ac:dyDescent="0.25"/>
    <row r="2" spans="2:16" ht="15" thickTop="1" x14ac:dyDescent="0.2">
      <c r="B2" s="285" t="s">
        <v>200</v>
      </c>
      <c r="C2" s="286"/>
      <c r="D2" s="286"/>
      <c r="E2" s="286"/>
      <c r="F2" s="286"/>
      <c r="G2" s="286"/>
      <c r="H2" s="286"/>
      <c r="I2" s="286"/>
      <c r="J2" s="286"/>
      <c r="K2" s="286"/>
      <c r="L2" s="286"/>
      <c r="M2" s="286"/>
      <c r="N2" s="286"/>
      <c r="O2" s="286"/>
      <c r="P2" s="287"/>
    </row>
    <row r="3" spans="2:16" x14ac:dyDescent="0.2">
      <c r="B3" s="288"/>
      <c r="C3" s="289"/>
      <c r="D3" s="289"/>
      <c r="E3" s="289"/>
      <c r="F3" s="289"/>
      <c r="G3" s="289"/>
      <c r="H3" s="289"/>
      <c r="I3" s="289"/>
      <c r="J3" s="289"/>
      <c r="K3" s="289"/>
      <c r="L3" s="289"/>
      <c r="M3" s="289"/>
      <c r="N3" s="289"/>
      <c r="O3" s="289"/>
      <c r="P3" s="290"/>
    </row>
    <row r="4" spans="2:16" x14ac:dyDescent="0.2">
      <c r="B4" s="288"/>
      <c r="C4" s="289"/>
      <c r="D4" s="289"/>
      <c r="E4" s="289"/>
      <c r="F4" s="289"/>
      <c r="G4" s="289"/>
      <c r="H4" s="289"/>
      <c r="I4" s="289"/>
      <c r="J4" s="289"/>
      <c r="K4" s="289"/>
      <c r="L4" s="289"/>
      <c r="M4" s="289"/>
      <c r="N4" s="289"/>
      <c r="O4" s="289"/>
      <c r="P4" s="290"/>
    </row>
    <row r="5" spans="2:16" x14ac:dyDescent="0.2">
      <c r="B5" s="134"/>
      <c r="C5" s="29"/>
      <c r="D5" s="29"/>
      <c r="E5" s="29"/>
      <c r="F5" s="29"/>
      <c r="G5" s="29"/>
      <c r="H5" s="29"/>
      <c r="I5" s="29"/>
      <c r="J5" s="29"/>
      <c r="K5" s="29"/>
      <c r="L5" s="29"/>
      <c r="M5" s="29"/>
      <c r="N5" s="29"/>
      <c r="O5" s="29"/>
      <c r="P5" s="135"/>
    </row>
    <row r="6" spans="2:16" x14ac:dyDescent="0.2">
      <c r="B6" s="134"/>
      <c r="C6" s="29" t="s">
        <v>110</v>
      </c>
      <c r="D6" s="29"/>
      <c r="E6" s="29"/>
      <c r="F6" s="29"/>
      <c r="G6" s="29"/>
      <c r="H6" s="29"/>
      <c r="I6" s="29"/>
      <c r="J6" s="29"/>
      <c r="K6" s="29"/>
      <c r="L6" s="29"/>
      <c r="M6" s="29"/>
      <c r="N6" s="29"/>
      <c r="O6" s="29"/>
      <c r="P6" s="135"/>
    </row>
    <row r="7" spans="2:16" ht="33.75" customHeight="1" thickBot="1" x14ac:dyDescent="0.25">
      <c r="B7" s="134"/>
      <c r="C7" s="35" t="s">
        <v>99</v>
      </c>
      <c r="D7" s="48" t="s">
        <v>247</v>
      </c>
      <c r="E7" s="48" t="s">
        <v>263</v>
      </c>
      <c r="F7" s="48" t="s">
        <v>248</v>
      </c>
      <c r="G7" s="132" t="s">
        <v>249</v>
      </c>
      <c r="H7" s="27"/>
      <c r="I7" s="27"/>
      <c r="J7" s="27"/>
      <c r="K7" s="27"/>
      <c r="L7" s="27"/>
      <c r="M7" s="27"/>
      <c r="N7" s="27"/>
      <c r="O7" s="27"/>
      <c r="P7" s="135"/>
    </row>
    <row r="8" spans="2:16" ht="15" thickTop="1" x14ac:dyDescent="0.2">
      <c r="B8" s="134"/>
      <c r="C8" s="189" t="s">
        <v>252</v>
      </c>
      <c r="D8" s="47">
        <v>8</v>
      </c>
      <c r="E8" s="47"/>
      <c r="F8" s="185">
        <v>8</v>
      </c>
      <c r="G8" s="219"/>
      <c r="H8" s="27"/>
      <c r="I8" s="27"/>
      <c r="J8" s="27"/>
      <c r="K8" s="27"/>
      <c r="L8" s="27"/>
      <c r="M8" s="27"/>
      <c r="N8" s="27"/>
      <c r="O8" s="27"/>
      <c r="P8" s="135"/>
    </row>
    <row r="9" spans="2:16" x14ac:dyDescent="0.2">
      <c r="B9" s="134"/>
      <c r="C9" s="189" t="s">
        <v>253</v>
      </c>
      <c r="D9" s="47">
        <v>2</v>
      </c>
      <c r="E9" s="47"/>
      <c r="F9" s="185">
        <v>2</v>
      </c>
      <c r="G9" s="44"/>
      <c r="H9" s="27"/>
      <c r="I9" s="27"/>
      <c r="J9" s="27"/>
      <c r="K9" s="27"/>
      <c r="L9" s="27"/>
      <c r="M9" s="27"/>
      <c r="N9" s="27"/>
      <c r="O9" s="27"/>
      <c r="P9" s="135"/>
    </row>
    <row r="10" spans="2:16" x14ac:dyDescent="0.2">
      <c r="B10" s="134"/>
      <c r="C10" s="189" t="s">
        <v>254</v>
      </c>
      <c r="D10" s="47">
        <v>1</v>
      </c>
      <c r="E10" s="47"/>
      <c r="F10" s="185">
        <v>1</v>
      </c>
      <c r="G10" s="44"/>
      <c r="H10" s="27"/>
      <c r="I10" s="27"/>
      <c r="J10" s="27"/>
      <c r="K10" s="27"/>
      <c r="L10" s="27"/>
      <c r="M10" s="27"/>
      <c r="N10" s="27"/>
      <c r="O10" s="27"/>
      <c r="P10" s="135"/>
    </row>
    <row r="11" spans="2:16" x14ac:dyDescent="0.2">
      <c r="B11" s="134"/>
      <c r="C11" s="189" t="s">
        <v>255</v>
      </c>
      <c r="D11" s="47">
        <v>2</v>
      </c>
      <c r="E11" s="47"/>
      <c r="F11" s="185">
        <v>2</v>
      </c>
      <c r="G11" s="44"/>
      <c r="H11" s="27"/>
      <c r="I11" s="27"/>
      <c r="J11" s="27"/>
      <c r="K11" s="27"/>
      <c r="L11" s="27"/>
      <c r="M11" s="27"/>
      <c r="N11" s="27"/>
      <c r="O11" s="27"/>
      <c r="P11" s="135"/>
    </row>
    <row r="12" spans="2:16" x14ac:dyDescent="0.2">
      <c r="B12" s="134"/>
      <c r="C12" s="189" t="s">
        <v>256</v>
      </c>
      <c r="D12" s="47">
        <v>1</v>
      </c>
      <c r="E12" s="47"/>
      <c r="F12" s="185">
        <v>1</v>
      </c>
      <c r="G12" s="44"/>
      <c r="H12" s="27"/>
      <c r="I12" s="27"/>
      <c r="J12" s="27"/>
      <c r="K12" s="27"/>
      <c r="L12" s="27"/>
      <c r="M12" s="27"/>
      <c r="N12" s="27"/>
      <c r="O12" s="27"/>
      <c r="P12" s="135"/>
    </row>
    <row r="13" spans="2:16" x14ac:dyDescent="0.2">
      <c r="B13" s="134"/>
      <c r="C13" s="189" t="s">
        <v>257</v>
      </c>
      <c r="D13" s="47">
        <v>2</v>
      </c>
      <c r="E13" s="47"/>
      <c r="F13" s="185">
        <v>2</v>
      </c>
      <c r="G13" s="44"/>
      <c r="H13" s="27"/>
      <c r="I13" s="27"/>
      <c r="J13" s="27"/>
      <c r="K13" s="27"/>
      <c r="L13" s="27"/>
      <c r="M13" s="27"/>
      <c r="N13" s="27"/>
      <c r="O13" s="27"/>
      <c r="P13" s="135"/>
    </row>
    <row r="14" spans="2:16" x14ac:dyDescent="0.2">
      <c r="B14" s="134"/>
      <c r="C14" s="189" t="s">
        <v>258</v>
      </c>
      <c r="D14" s="47">
        <v>2</v>
      </c>
      <c r="E14" s="47"/>
      <c r="F14" s="185">
        <v>2</v>
      </c>
      <c r="G14" s="44"/>
      <c r="H14" s="27"/>
      <c r="I14" s="27"/>
      <c r="J14" s="27"/>
      <c r="K14" s="27"/>
      <c r="L14" s="27"/>
      <c r="M14" s="27"/>
      <c r="N14" s="27"/>
      <c r="O14" s="27"/>
      <c r="P14" s="135"/>
    </row>
    <row r="15" spans="2:16" x14ac:dyDescent="0.2">
      <c r="B15" s="134"/>
      <c r="C15" s="189" t="s">
        <v>259</v>
      </c>
      <c r="D15" s="47">
        <v>1</v>
      </c>
      <c r="E15" s="47"/>
      <c r="F15" s="185">
        <v>1</v>
      </c>
      <c r="G15" s="44"/>
      <c r="H15" s="27"/>
      <c r="I15" s="27"/>
      <c r="J15" s="27"/>
      <c r="K15" s="27"/>
      <c r="L15" s="27"/>
      <c r="M15" s="27"/>
      <c r="N15" s="27"/>
      <c r="O15" s="27"/>
      <c r="P15" s="135"/>
    </row>
    <row r="16" spans="2:16" x14ac:dyDescent="0.2">
      <c r="B16" s="134"/>
      <c r="C16" s="189" t="s">
        <v>260</v>
      </c>
      <c r="D16" s="47">
        <v>1</v>
      </c>
      <c r="E16" s="47"/>
      <c r="F16" s="185">
        <v>1</v>
      </c>
      <c r="G16" s="44"/>
      <c r="H16" s="27"/>
      <c r="I16" s="27"/>
      <c r="J16" s="27"/>
      <c r="K16" s="27"/>
      <c r="L16" s="27"/>
      <c r="M16" s="27"/>
      <c r="N16" s="27"/>
      <c r="O16" s="27"/>
      <c r="P16" s="135"/>
    </row>
    <row r="17" spans="2:16" x14ac:dyDescent="0.2">
      <c r="B17" s="134"/>
      <c r="C17" s="189" t="s">
        <v>261</v>
      </c>
      <c r="D17" s="47">
        <v>2</v>
      </c>
      <c r="E17" s="47"/>
      <c r="F17" s="185">
        <v>2</v>
      </c>
      <c r="G17" s="44"/>
      <c r="H17" s="27"/>
      <c r="I17" s="27"/>
      <c r="J17" s="27"/>
      <c r="K17" s="27"/>
      <c r="L17" s="27"/>
      <c r="M17" s="27"/>
      <c r="N17" s="27"/>
      <c r="O17" s="27"/>
      <c r="P17" s="135"/>
    </row>
    <row r="18" spans="2:16" x14ac:dyDescent="0.2">
      <c r="B18" s="134"/>
      <c r="C18" s="189" t="s">
        <v>262</v>
      </c>
      <c r="D18" s="47">
        <v>1</v>
      </c>
      <c r="E18" s="47"/>
      <c r="F18" s="185">
        <v>1</v>
      </c>
      <c r="G18" s="44"/>
      <c r="H18" s="27"/>
      <c r="I18" s="27"/>
      <c r="J18" s="27"/>
      <c r="K18" s="27"/>
      <c r="L18" s="27"/>
      <c r="M18" s="27"/>
      <c r="N18" s="27"/>
      <c r="O18" s="27"/>
      <c r="P18" s="135"/>
    </row>
    <row r="19" spans="2:16" x14ac:dyDescent="0.2">
      <c r="B19" s="134"/>
      <c r="C19" s="189" t="s">
        <v>107</v>
      </c>
      <c r="D19" s="47">
        <v>9.6999999999999993</v>
      </c>
      <c r="E19" s="47"/>
      <c r="F19" s="44">
        <v>9.6999999999999993</v>
      </c>
      <c r="G19" s="44"/>
      <c r="H19" s="27"/>
      <c r="I19" s="27"/>
      <c r="J19" s="27"/>
      <c r="K19" s="27"/>
      <c r="L19" s="27"/>
      <c r="M19" s="27"/>
      <c r="N19" s="27"/>
      <c r="O19" s="27"/>
      <c r="P19" s="135"/>
    </row>
    <row r="20" spans="2:16" x14ac:dyDescent="0.2">
      <c r="B20" s="134"/>
      <c r="C20" s="189" t="s">
        <v>100</v>
      </c>
      <c r="D20" s="47">
        <v>11.6</v>
      </c>
      <c r="E20" s="47"/>
      <c r="F20" s="44">
        <v>11.6</v>
      </c>
      <c r="G20" s="44"/>
      <c r="H20" s="27"/>
      <c r="I20" s="27"/>
      <c r="J20" s="27"/>
      <c r="K20" s="27"/>
      <c r="L20" s="27"/>
      <c r="M20" s="27"/>
      <c r="N20" s="27"/>
      <c r="O20" s="27"/>
      <c r="P20" s="135"/>
    </row>
    <row r="21" spans="2:16" x14ac:dyDescent="0.2">
      <c r="B21" s="134"/>
      <c r="C21" s="189" t="s">
        <v>108</v>
      </c>
      <c r="D21" s="47"/>
      <c r="E21" s="47"/>
      <c r="F21" s="47"/>
      <c r="G21" s="44"/>
      <c r="H21" s="27"/>
      <c r="I21" s="27"/>
      <c r="J21" s="27"/>
      <c r="K21" s="27"/>
      <c r="L21" s="27"/>
      <c r="M21" s="27"/>
      <c r="N21" s="27"/>
      <c r="O21" s="27"/>
      <c r="P21" s="135"/>
    </row>
    <row r="22" spans="2:16" x14ac:dyDescent="0.2">
      <c r="B22" s="134"/>
      <c r="C22" s="189" t="s">
        <v>109</v>
      </c>
      <c r="D22" s="47"/>
      <c r="E22" s="47"/>
      <c r="F22" s="47"/>
      <c r="G22" s="44"/>
      <c r="H22" s="27"/>
      <c r="I22" s="27"/>
      <c r="J22" s="27"/>
      <c r="K22" s="27"/>
      <c r="L22" s="27"/>
      <c r="M22" s="27"/>
      <c r="N22" s="27"/>
      <c r="O22" s="27"/>
      <c r="P22" s="135"/>
    </row>
    <row r="23" spans="2:16" x14ac:dyDescent="0.2">
      <c r="B23" s="134"/>
      <c r="C23" s="27"/>
      <c r="D23" s="27"/>
      <c r="E23" s="27"/>
      <c r="F23" s="27"/>
      <c r="G23" s="27"/>
      <c r="H23" s="27"/>
      <c r="I23" s="27"/>
      <c r="J23" s="27"/>
      <c r="K23" s="27"/>
      <c r="L23" s="27"/>
      <c r="M23" s="27"/>
      <c r="N23" s="27"/>
      <c r="O23" s="27"/>
      <c r="P23" s="135"/>
    </row>
    <row r="24" spans="2:16" x14ac:dyDescent="0.2">
      <c r="B24" s="134"/>
      <c r="C24" s="27" t="s">
        <v>122</v>
      </c>
      <c r="D24" s="27"/>
      <c r="E24" s="27"/>
      <c r="F24" s="27"/>
      <c r="G24" s="27"/>
      <c r="H24" s="27"/>
      <c r="I24" s="27"/>
      <c r="J24" s="27"/>
      <c r="K24" s="27"/>
      <c r="L24" s="27"/>
      <c r="M24" s="27"/>
      <c r="N24" s="27"/>
      <c r="O24" s="27"/>
      <c r="P24" s="135"/>
    </row>
    <row r="25" spans="2:16" ht="45.75" thickBot="1" x14ac:dyDescent="0.25">
      <c r="B25" s="134"/>
      <c r="C25" s="35" t="s">
        <v>0</v>
      </c>
      <c r="D25" s="35" t="s">
        <v>1</v>
      </c>
      <c r="E25" s="35" t="s">
        <v>92</v>
      </c>
      <c r="F25" s="35" t="s">
        <v>2</v>
      </c>
      <c r="G25" s="35" t="s">
        <v>3</v>
      </c>
      <c r="H25" s="35" t="s">
        <v>4</v>
      </c>
      <c r="I25" s="35" t="s">
        <v>250</v>
      </c>
      <c r="J25" s="43" t="s">
        <v>95</v>
      </c>
      <c r="K25" s="48" t="s">
        <v>203</v>
      </c>
      <c r="L25" s="48" t="s">
        <v>186</v>
      </c>
      <c r="M25" s="48" t="s">
        <v>187</v>
      </c>
      <c r="N25" s="48" t="s">
        <v>184</v>
      </c>
      <c r="O25" s="43" t="s">
        <v>185</v>
      </c>
      <c r="P25" s="135"/>
    </row>
    <row r="26" spans="2:16" ht="15" thickTop="1" x14ac:dyDescent="0.2">
      <c r="B26" s="134"/>
      <c r="C26" s="190" t="s">
        <v>212</v>
      </c>
      <c r="D26" s="190" t="s">
        <v>7</v>
      </c>
      <c r="E26" s="190" t="b">
        <v>1</v>
      </c>
      <c r="F26" s="190" t="s">
        <v>8</v>
      </c>
      <c r="G26" s="190" t="s">
        <v>9</v>
      </c>
      <c r="H26" s="36" t="s">
        <v>213</v>
      </c>
      <c r="I26" s="203">
        <v>5.2987642833602584E-2</v>
      </c>
      <c r="J26" s="131">
        <v>25.297714111978184</v>
      </c>
      <c r="K26" s="32" t="str">
        <f>D26&amp;"|"&amp;F26</f>
        <v>Cereals|600to700</v>
      </c>
      <c r="L26" s="131">
        <f>AVERAGE(I26:I28)</f>
        <v>0.2993213302763531</v>
      </c>
      <c r="M26" s="131">
        <f>AVERAGE(J26:J28)</f>
        <v>21.413241194556495</v>
      </c>
      <c r="N26" s="210">
        <f>AVERAGE(I26:I31)</f>
        <v>0.44434612001781687</v>
      </c>
      <c r="O26" s="211">
        <f>AVERAGE(J26:J31)</f>
        <v>23.381260995864626</v>
      </c>
      <c r="P26" s="135"/>
    </row>
    <row r="27" spans="2:16" x14ac:dyDescent="0.2">
      <c r="B27" s="134"/>
      <c r="C27" s="190" t="s">
        <v>212</v>
      </c>
      <c r="D27" s="190" t="s">
        <v>7</v>
      </c>
      <c r="E27" s="190" t="b">
        <v>1</v>
      </c>
      <c r="F27" s="190" t="s">
        <v>8</v>
      </c>
      <c r="G27" s="190" t="s">
        <v>10</v>
      </c>
      <c r="H27" s="36" t="s">
        <v>214</v>
      </c>
      <c r="I27" s="131">
        <v>0.31816946794955031</v>
      </c>
      <c r="J27" s="131">
        <v>18.759071546654315</v>
      </c>
      <c r="K27" s="32" t="str">
        <f t="shared" ref="K27:K52" si="0">D27&amp;"|"&amp;F27</f>
        <v>Cereals|600to700</v>
      </c>
      <c r="L27" s="131"/>
      <c r="M27" s="131"/>
      <c r="N27" s="210"/>
      <c r="O27" s="212"/>
      <c r="P27" s="135"/>
    </row>
    <row r="28" spans="2:16" x14ac:dyDescent="0.2">
      <c r="B28" s="134"/>
      <c r="C28" s="190" t="s">
        <v>212</v>
      </c>
      <c r="D28" s="190" t="s">
        <v>7</v>
      </c>
      <c r="E28" s="190" t="b">
        <v>1</v>
      </c>
      <c r="F28" s="190" t="s">
        <v>8</v>
      </c>
      <c r="G28" s="190" t="s">
        <v>11</v>
      </c>
      <c r="H28" s="36" t="s">
        <v>215</v>
      </c>
      <c r="I28" s="131">
        <v>0.52680688004590648</v>
      </c>
      <c r="J28" s="131">
        <v>20.182937925036988</v>
      </c>
      <c r="K28" s="32" t="str">
        <f t="shared" si="0"/>
        <v>Cereals|600to700</v>
      </c>
      <c r="L28" s="131"/>
      <c r="M28" s="131"/>
      <c r="N28" s="210"/>
      <c r="O28" s="212"/>
      <c r="P28" s="135"/>
    </row>
    <row r="29" spans="2:16" x14ac:dyDescent="0.2">
      <c r="B29" s="134"/>
      <c r="C29" s="190" t="s">
        <v>212</v>
      </c>
      <c r="D29" s="190" t="s">
        <v>7</v>
      </c>
      <c r="E29" s="190" t="b">
        <v>1</v>
      </c>
      <c r="F29" s="190" t="s">
        <v>12</v>
      </c>
      <c r="G29" s="190" t="s">
        <v>9</v>
      </c>
      <c r="H29" s="36" t="s">
        <v>216</v>
      </c>
      <c r="I29" s="131">
        <v>0.14547274881812677</v>
      </c>
      <c r="J29" s="131">
        <v>30.31001318386398</v>
      </c>
      <c r="K29" s="32" t="str">
        <f t="shared" si="0"/>
        <v>Cereals|700to900</v>
      </c>
      <c r="L29" s="131">
        <f>AVERAGE(I29:I31)</f>
        <v>0.58937090975928064</v>
      </c>
      <c r="M29" s="131">
        <f>AVERAGE(J29:J31)</f>
        <v>25.349280797172753</v>
      </c>
      <c r="N29" s="210"/>
      <c r="O29" s="212"/>
      <c r="P29" s="135"/>
    </row>
    <row r="30" spans="2:16" x14ac:dyDescent="0.2">
      <c r="B30" s="134"/>
      <c r="C30" s="190" t="s">
        <v>212</v>
      </c>
      <c r="D30" s="190" t="s">
        <v>7</v>
      </c>
      <c r="E30" s="190" t="b">
        <v>1</v>
      </c>
      <c r="F30" s="190" t="s">
        <v>12</v>
      </c>
      <c r="G30" s="190" t="s">
        <v>10</v>
      </c>
      <c r="H30" s="36" t="s">
        <v>217</v>
      </c>
      <c r="I30" s="131">
        <v>0.68863856574138427</v>
      </c>
      <c r="J30" s="131">
        <v>23.486551324617764</v>
      </c>
      <c r="K30" s="32" t="str">
        <f t="shared" si="0"/>
        <v>Cereals|700to900</v>
      </c>
      <c r="L30" s="131"/>
      <c r="M30" s="131"/>
      <c r="N30" s="210"/>
      <c r="O30" s="212"/>
      <c r="P30" s="135"/>
    </row>
    <row r="31" spans="2:16" x14ac:dyDescent="0.2">
      <c r="B31" s="134"/>
      <c r="C31" s="190" t="s">
        <v>212</v>
      </c>
      <c r="D31" s="190" t="s">
        <v>7</v>
      </c>
      <c r="E31" s="190" t="b">
        <v>1</v>
      </c>
      <c r="F31" s="190" t="s">
        <v>12</v>
      </c>
      <c r="G31" s="190" t="s">
        <v>11</v>
      </c>
      <c r="H31" s="36" t="s">
        <v>218</v>
      </c>
      <c r="I31" s="131">
        <v>0.93400141471833087</v>
      </c>
      <c r="J31" s="131">
        <v>22.251277883036522</v>
      </c>
      <c r="K31" s="32" t="str">
        <f t="shared" si="0"/>
        <v>Cereals|700to900</v>
      </c>
      <c r="L31" s="131"/>
      <c r="M31" s="131"/>
      <c r="N31" s="210"/>
      <c r="O31" s="212"/>
      <c r="P31" s="135"/>
    </row>
    <row r="32" spans="2:16" x14ac:dyDescent="0.2">
      <c r="B32" s="134"/>
      <c r="C32" s="190" t="s">
        <v>212</v>
      </c>
      <c r="D32" s="190" t="s">
        <v>25</v>
      </c>
      <c r="E32" s="190" t="b">
        <v>1</v>
      </c>
      <c r="F32" s="190" t="s">
        <v>8</v>
      </c>
      <c r="G32" s="190" t="s">
        <v>9</v>
      </c>
      <c r="H32" s="36" t="s">
        <v>219</v>
      </c>
      <c r="I32" s="131">
        <v>4.7145326673579638E-2</v>
      </c>
      <c r="J32" s="131">
        <v>30.234735018736298</v>
      </c>
      <c r="K32" s="32" t="str">
        <f t="shared" si="0"/>
        <v>General|600to700</v>
      </c>
      <c r="L32" s="131">
        <f>AVERAGE(I32:I34)</f>
        <v>0.28546466532082443</v>
      </c>
      <c r="M32" s="131">
        <f>AVERAGE(J32:J34)</f>
        <v>24.506255257050423</v>
      </c>
      <c r="N32" s="210">
        <f>AVERAGE(I32:I36)</f>
        <v>0.36821434812090448</v>
      </c>
      <c r="O32" s="212">
        <f>AVERAGE(J32:J36)</f>
        <v>26.613355401299181</v>
      </c>
      <c r="P32" s="135"/>
    </row>
    <row r="33" spans="2:16" x14ac:dyDescent="0.2">
      <c r="B33" s="134"/>
      <c r="C33" s="190" t="s">
        <v>212</v>
      </c>
      <c r="D33" s="190" t="s">
        <v>25</v>
      </c>
      <c r="E33" s="190" t="b">
        <v>1</v>
      </c>
      <c r="F33" s="190" t="s">
        <v>8</v>
      </c>
      <c r="G33" s="190" t="s">
        <v>10</v>
      </c>
      <c r="H33" s="36" t="s">
        <v>220</v>
      </c>
      <c r="I33" s="131">
        <v>0.29704669251486027</v>
      </c>
      <c r="J33" s="131">
        <v>21.224203819510848</v>
      </c>
      <c r="K33" s="32" t="str">
        <f t="shared" si="0"/>
        <v>General|600to700</v>
      </c>
      <c r="L33" s="131"/>
      <c r="M33" s="131"/>
      <c r="N33" s="210"/>
      <c r="O33" s="212"/>
      <c r="P33" s="135"/>
    </row>
    <row r="34" spans="2:16" x14ac:dyDescent="0.2">
      <c r="B34" s="134"/>
      <c r="C34" s="190" t="s">
        <v>212</v>
      </c>
      <c r="D34" s="190" t="s">
        <v>25</v>
      </c>
      <c r="E34" s="190" t="b">
        <v>1</v>
      </c>
      <c r="F34" s="190" t="s">
        <v>8</v>
      </c>
      <c r="G34" s="190" t="s">
        <v>11</v>
      </c>
      <c r="H34" s="36" t="s">
        <v>221</v>
      </c>
      <c r="I34" s="131">
        <v>0.51220197677403345</v>
      </c>
      <c r="J34" s="131">
        <v>22.059826932904123</v>
      </c>
      <c r="K34" s="32" t="str">
        <f t="shared" si="0"/>
        <v>General|600to700</v>
      </c>
      <c r="L34" s="131"/>
      <c r="M34" s="131"/>
      <c r="N34" s="210"/>
      <c r="O34" s="212"/>
      <c r="P34" s="135"/>
    </row>
    <row r="35" spans="2:16" x14ac:dyDescent="0.2">
      <c r="B35" s="134"/>
      <c r="C35" s="190" t="s">
        <v>212</v>
      </c>
      <c r="D35" s="190" t="s">
        <v>25</v>
      </c>
      <c r="E35" s="190" t="b">
        <v>1</v>
      </c>
      <c r="F35" s="190" t="s">
        <v>12</v>
      </c>
      <c r="G35" s="190" t="s">
        <v>9</v>
      </c>
      <c r="H35" s="36" t="s">
        <v>222</v>
      </c>
      <c r="I35" s="131">
        <v>0.12638813680095767</v>
      </c>
      <c r="J35" s="131">
        <v>35.945622898924256</v>
      </c>
      <c r="K35" s="32" t="str">
        <f t="shared" si="0"/>
        <v>General|700to900</v>
      </c>
      <c r="L35" s="131">
        <f>AVERAGE(I35:I36,I63)</f>
        <v>0.50741802178135342</v>
      </c>
      <c r="M35" s="131">
        <f>AVERAGE(J35:J36,J63)</f>
        <v>26.947777665271939</v>
      </c>
      <c r="N35" s="210"/>
      <c r="O35" s="212"/>
      <c r="P35" s="135"/>
    </row>
    <row r="36" spans="2:16" x14ac:dyDescent="0.2">
      <c r="B36" s="134"/>
      <c r="C36" s="190" t="s">
        <v>212</v>
      </c>
      <c r="D36" s="190" t="s">
        <v>25</v>
      </c>
      <c r="E36" s="190" t="b">
        <v>1</v>
      </c>
      <c r="F36" s="190" t="s">
        <v>12</v>
      </c>
      <c r="G36" s="190" t="s">
        <v>11</v>
      </c>
      <c r="H36" s="36" t="s">
        <v>223</v>
      </c>
      <c r="I36" s="131">
        <v>0.85828960784109154</v>
      </c>
      <c r="J36" s="131">
        <v>23.60238833642039</v>
      </c>
      <c r="K36" s="32" t="str">
        <f t="shared" si="0"/>
        <v>General|700to900</v>
      </c>
      <c r="L36" s="131"/>
      <c r="M36" s="131"/>
      <c r="N36" s="210"/>
      <c r="O36" s="212"/>
      <c r="P36" s="135"/>
    </row>
    <row r="37" spans="2:16" x14ac:dyDescent="0.2">
      <c r="B37" s="134"/>
      <c r="C37" s="190" t="s">
        <v>212</v>
      </c>
      <c r="D37" s="190" t="s">
        <v>32</v>
      </c>
      <c r="E37" s="190" t="b">
        <v>1</v>
      </c>
      <c r="F37" s="190" t="s">
        <v>8</v>
      </c>
      <c r="G37" s="190" t="s">
        <v>9</v>
      </c>
      <c r="H37" s="36" t="s">
        <v>276</v>
      </c>
      <c r="I37" s="131">
        <v>4.8349600895220009E-2</v>
      </c>
      <c r="J37" s="131">
        <v>25.071025627836349</v>
      </c>
      <c r="K37" s="32" t="str">
        <f t="shared" si="0"/>
        <v>Horticulture|600to700</v>
      </c>
      <c r="L37" s="131">
        <f>AVERAGE(I37:I39)</f>
        <v>0.29649518536355685</v>
      </c>
      <c r="M37" s="131">
        <f>AVERAGE(J37:J39)</f>
        <v>20.209038384393168</v>
      </c>
      <c r="N37" s="210">
        <f>AVERAGE(I37:I39)</f>
        <v>0.29649518536355685</v>
      </c>
      <c r="O37" s="212">
        <f>AVERAGE(J37:J39)</f>
        <v>20.209038384393168</v>
      </c>
      <c r="P37" s="135"/>
    </row>
    <row r="38" spans="2:16" x14ac:dyDescent="0.2">
      <c r="B38" s="134"/>
      <c r="C38" s="190" t="s">
        <v>212</v>
      </c>
      <c r="D38" s="190" t="s">
        <v>32</v>
      </c>
      <c r="E38" s="190" t="b">
        <v>1</v>
      </c>
      <c r="F38" s="190" t="s">
        <v>8</v>
      </c>
      <c r="G38" s="190" t="s">
        <v>10</v>
      </c>
      <c r="H38" s="36" t="s">
        <v>277</v>
      </c>
      <c r="I38" s="131">
        <v>0.30958212495574555</v>
      </c>
      <c r="J38" s="131">
        <v>17.483240857930095</v>
      </c>
      <c r="K38" s="32" t="str">
        <f t="shared" si="0"/>
        <v>Horticulture|600to700</v>
      </c>
      <c r="L38" s="131"/>
      <c r="M38" s="131"/>
      <c r="N38" s="210"/>
      <c r="O38" s="212"/>
      <c r="P38" s="135"/>
    </row>
    <row r="39" spans="2:16" x14ac:dyDescent="0.2">
      <c r="B39" s="134"/>
      <c r="C39" s="190" t="s">
        <v>212</v>
      </c>
      <c r="D39" s="190" t="s">
        <v>32</v>
      </c>
      <c r="E39" s="190" t="b">
        <v>1</v>
      </c>
      <c r="F39" s="190" t="s">
        <v>8</v>
      </c>
      <c r="G39" s="190" t="s">
        <v>11</v>
      </c>
      <c r="H39" s="36" t="s">
        <v>278</v>
      </c>
      <c r="I39" s="131">
        <v>0.53155383023970493</v>
      </c>
      <c r="J39" s="131">
        <v>18.072848667413052</v>
      </c>
      <c r="K39" s="32" t="str">
        <f t="shared" si="0"/>
        <v>Horticulture|600to700</v>
      </c>
      <c r="L39" s="131"/>
      <c r="M39" s="131"/>
      <c r="N39" s="210"/>
      <c r="O39" s="212"/>
      <c r="P39" s="135"/>
    </row>
    <row r="40" spans="2:16" x14ac:dyDescent="0.2">
      <c r="B40" s="134"/>
      <c r="C40" s="190" t="s">
        <v>212</v>
      </c>
      <c r="D40" s="190" t="s">
        <v>55</v>
      </c>
      <c r="E40" s="190" t="b">
        <v>1</v>
      </c>
      <c r="F40" s="190" t="s">
        <v>8</v>
      </c>
      <c r="G40" s="190" t="s">
        <v>10</v>
      </c>
      <c r="H40" s="36" t="s">
        <v>224</v>
      </c>
      <c r="I40" s="131">
        <v>0.26646300847446341</v>
      </c>
      <c r="J40" s="131">
        <v>28.5591829713462</v>
      </c>
      <c r="K40" s="32" t="str">
        <f t="shared" si="0"/>
        <v>Dairy|600to700</v>
      </c>
      <c r="L40" s="131">
        <f>AVERAGE(I40:I41,I82)</f>
        <v>0.47309468172529684</v>
      </c>
      <c r="M40" s="131">
        <f>AVERAGE(J40:J41,J82)</f>
        <v>29.831609208675541</v>
      </c>
      <c r="N40" s="210">
        <f>AVERAGE(I40:I41)</f>
        <v>0.64058218735285477</v>
      </c>
      <c r="O40" s="212">
        <f>AVERAGE(J40:J41)</f>
        <v>25.194773664980975</v>
      </c>
      <c r="P40" s="135"/>
    </row>
    <row r="41" spans="2:16" x14ac:dyDescent="0.2">
      <c r="B41" s="134"/>
      <c r="C41" s="190" t="s">
        <v>212</v>
      </c>
      <c r="D41" s="190" t="s">
        <v>55</v>
      </c>
      <c r="E41" s="190" t="b">
        <v>1</v>
      </c>
      <c r="F41" s="190" t="s">
        <v>8</v>
      </c>
      <c r="G41" s="190" t="s">
        <v>11</v>
      </c>
      <c r="H41" s="36" t="s">
        <v>225</v>
      </c>
      <c r="I41" s="131">
        <v>1.0147013662312461</v>
      </c>
      <c r="J41" s="131">
        <v>21.83036435861575</v>
      </c>
      <c r="K41" s="32" t="str">
        <f t="shared" si="0"/>
        <v>Dairy|600to700</v>
      </c>
      <c r="L41" s="131"/>
      <c r="M41" s="131"/>
      <c r="N41" s="210"/>
      <c r="O41" s="212"/>
      <c r="P41" s="135"/>
    </row>
    <row r="42" spans="2:16" x14ac:dyDescent="0.2">
      <c r="B42" s="134"/>
      <c r="C42" s="190" t="s">
        <v>212</v>
      </c>
      <c r="D42" s="190" t="s">
        <v>57</v>
      </c>
      <c r="E42" s="190" t="b">
        <v>1</v>
      </c>
      <c r="F42" s="190" t="s">
        <v>8</v>
      </c>
      <c r="G42" s="190" t="s">
        <v>9</v>
      </c>
      <c r="H42" s="36" t="s">
        <v>226</v>
      </c>
      <c r="I42" s="131">
        <v>5.1918503995313933E-2</v>
      </c>
      <c r="J42" s="131">
        <v>9.5438546441539653</v>
      </c>
      <c r="K42" s="32" t="str">
        <f t="shared" si="0"/>
        <v>LFA|600to700</v>
      </c>
      <c r="L42" s="131">
        <f>AVERAGE(I42:I44)</f>
        <v>0.16167996489337202</v>
      </c>
      <c r="M42" s="131">
        <f>AVERAGE(J42:J44)</f>
        <v>7.4899906496653541</v>
      </c>
      <c r="N42" s="210">
        <f>AVERAGE(I42:I44)</f>
        <v>0.16167996489337202</v>
      </c>
      <c r="O42" s="212">
        <f>AVERAGE(J42:J44)</f>
        <v>7.4899906496653541</v>
      </c>
      <c r="P42" s="135"/>
    </row>
    <row r="43" spans="2:16" x14ac:dyDescent="0.2">
      <c r="B43" s="134"/>
      <c r="C43" s="190" t="s">
        <v>212</v>
      </c>
      <c r="D43" s="190" t="s">
        <v>57</v>
      </c>
      <c r="E43" s="190" t="b">
        <v>1</v>
      </c>
      <c r="F43" s="190" t="s">
        <v>8</v>
      </c>
      <c r="G43" s="190" t="s">
        <v>10</v>
      </c>
      <c r="H43" s="36" t="s">
        <v>227</v>
      </c>
      <c r="I43" s="131">
        <v>6.3159515267229432E-2</v>
      </c>
      <c r="J43" s="131">
        <v>6.533006888128166</v>
      </c>
      <c r="K43" s="32" t="str">
        <f t="shared" si="0"/>
        <v>LFA|600to700</v>
      </c>
      <c r="L43" s="131"/>
      <c r="M43" s="131"/>
      <c r="N43" s="210"/>
      <c r="O43" s="212"/>
      <c r="P43" s="135"/>
    </row>
    <row r="44" spans="2:16" x14ac:dyDescent="0.2">
      <c r="B44" s="134"/>
      <c r="C44" s="190" t="s">
        <v>212</v>
      </c>
      <c r="D44" s="190" t="s">
        <v>57</v>
      </c>
      <c r="E44" s="190" t="b">
        <v>1</v>
      </c>
      <c r="F44" s="190" t="s">
        <v>8</v>
      </c>
      <c r="G44" s="190" t="s">
        <v>11</v>
      </c>
      <c r="H44" s="36" t="s">
        <v>228</v>
      </c>
      <c r="I44" s="131">
        <v>0.36996187541757269</v>
      </c>
      <c r="J44" s="131">
        <v>6.3931104167139301</v>
      </c>
      <c r="K44" s="32" t="str">
        <f t="shared" si="0"/>
        <v>LFA|600to700</v>
      </c>
      <c r="L44" s="131"/>
      <c r="M44" s="131"/>
      <c r="N44" s="210"/>
      <c r="O44" s="212"/>
      <c r="P44" s="135"/>
    </row>
    <row r="45" spans="2:16" x14ac:dyDescent="0.2">
      <c r="B45" s="134"/>
      <c r="C45" s="190" t="s">
        <v>212</v>
      </c>
      <c r="D45" s="190" t="s">
        <v>58</v>
      </c>
      <c r="E45" s="190" t="b">
        <v>1</v>
      </c>
      <c r="F45" s="190" t="s">
        <v>8</v>
      </c>
      <c r="G45" s="190" t="s">
        <v>9</v>
      </c>
      <c r="H45" s="36" t="s">
        <v>229</v>
      </c>
      <c r="I45" s="131">
        <v>6.7770876695631782E-2</v>
      </c>
      <c r="J45" s="131">
        <v>14.428198351403264</v>
      </c>
      <c r="K45" s="32" t="str">
        <f t="shared" si="0"/>
        <v>Lowland|600to700</v>
      </c>
      <c r="L45" s="131">
        <f>AVERAGE(I45:I47)</f>
        <v>0.23232608685248321</v>
      </c>
      <c r="M45" s="131">
        <f>AVERAGE(J45:J47)</f>
        <v>11.078285331667574</v>
      </c>
      <c r="N45" s="210">
        <f>AVERAGE(I45:I49)</f>
        <v>0.32114504190882931</v>
      </c>
      <c r="O45" s="212">
        <f>AVERAGE(J45:J49)</f>
        <v>12.841019328323679</v>
      </c>
      <c r="P45" s="135"/>
    </row>
    <row r="46" spans="2:16" x14ac:dyDescent="0.2">
      <c r="B46" s="134"/>
      <c r="C46" s="190" t="s">
        <v>212</v>
      </c>
      <c r="D46" s="190" t="s">
        <v>58</v>
      </c>
      <c r="E46" s="190" t="b">
        <v>1</v>
      </c>
      <c r="F46" s="190" t="s">
        <v>8</v>
      </c>
      <c r="G46" s="190" t="s">
        <v>10</v>
      </c>
      <c r="H46" s="36" t="s">
        <v>230</v>
      </c>
      <c r="I46" s="131">
        <v>0.12507664120337114</v>
      </c>
      <c r="J46" s="131">
        <v>9.7737257176453962</v>
      </c>
      <c r="K46" s="32" t="str">
        <f t="shared" si="0"/>
        <v>Lowland|600to700</v>
      </c>
      <c r="L46" s="131"/>
      <c r="M46" s="131"/>
      <c r="N46" s="210"/>
      <c r="O46" s="212"/>
      <c r="P46" s="135"/>
    </row>
    <row r="47" spans="2:16" x14ac:dyDescent="0.2">
      <c r="B47" s="134"/>
      <c r="C47" s="190" t="s">
        <v>212</v>
      </c>
      <c r="D47" s="190" t="s">
        <v>58</v>
      </c>
      <c r="E47" s="190" t="b">
        <v>1</v>
      </c>
      <c r="F47" s="190" t="s">
        <v>8</v>
      </c>
      <c r="G47" s="190" t="s">
        <v>11</v>
      </c>
      <c r="H47" s="36" t="s">
        <v>231</v>
      </c>
      <c r="I47" s="131">
        <v>0.50413074265844671</v>
      </c>
      <c r="J47" s="131">
        <v>9.0329319259540668</v>
      </c>
      <c r="K47" s="32" t="str">
        <f t="shared" si="0"/>
        <v>Lowland|600to700</v>
      </c>
      <c r="L47" s="131"/>
      <c r="M47" s="131"/>
      <c r="N47" s="210"/>
      <c r="O47" s="212"/>
      <c r="P47" s="135"/>
    </row>
    <row r="48" spans="2:16" x14ac:dyDescent="0.2">
      <c r="B48" s="134"/>
      <c r="C48" s="190" t="s">
        <v>212</v>
      </c>
      <c r="D48" s="190" t="s">
        <v>58</v>
      </c>
      <c r="E48" s="190" t="b">
        <v>1</v>
      </c>
      <c r="F48" s="190" t="s">
        <v>12</v>
      </c>
      <c r="G48" s="190" t="s">
        <v>9</v>
      </c>
      <c r="H48" s="36" t="s">
        <v>232</v>
      </c>
      <c r="I48" s="131">
        <v>0.11844484343825211</v>
      </c>
      <c r="J48" s="131">
        <v>19.968810871518457</v>
      </c>
      <c r="K48" s="32" t="str">
        <f t="shared" si="0"/>
        <v>Lowland|700to900</v>
      </c>
      <c r="L48" s="131">
        <f>AVERAGE(I48:I49,I95)</f>
        <v>0.36860328221632899</v>
      </c>
      <c r="M48" s="131">
        <f>AVERAGE(J48:J49,J95)</f>
        <v>15.13661458817265</v>
      </c>
      <c r="N48" s="210"/>
      <c r="O48" s="212"/>
      <c r="P48" s="135"/>
    </row>
    <row r="49" spans="2:16" x14ac:dyDescent="0.2">
      <c r="B49" s="134"/>
      <c r="C49" s="190" t="s">
        <v>212</v>
      </c>
      <c r="D49" s="190" t="s">
        <v>58</v>
      </c>
      <c r="E49" s="190" t="b">
        <v>1</v>
      </c>
      <c r="F49" s="190" t="s">
        <v>12</v>
      </c>
      <c r="G49" s="190" t="s">
        <v>11</v>
      </c>
      <c r="H49" s="36" t="s">
        <v>233</v>
      </c>
      <c r="I49" s="131">
        <v>0.79030210554844493</v>
      </c>
      <c r="J49" s="131">
        <v>11.00142977509722</v>
      </c>
      <c r="K49" s="32" t="str">
        <f t="shared" si="0"/>
        <v>Lowland|700to900</v>
      </c>
      <c r="L49" s="131"/>
      <c r="M49" s="131"/>
      <c r="N49" s="210"/>
      <c r="O49" s="212"/>
      <c r="P49" s="135"/>
    </row>
    <row r="50" spans="2:16" x14ac:dyDescent="0.2">
      <c r="B50" s="134"/>
      <c r="C50" s="190" t="s">
        <v>212</v>
      </c>
      <c r="D50" s="190" t="s">
        <v>59</v>
      </c>
      <c r="E50" s="190" t="b">
        <v>1</v>
      </c>
      <c r="F50" s="190" t="s">
        <v>8</v>
      </c>
      <c r="G50" s="190" t="s">
        <v>9</v>
      </c>
      <c r="H50" s="36" t="s">
        <v>234</v>
      </c>
      <c r="I50" s="131">
        <v>6.7331374224421453E-2</v>
      </c>
      <c r="J50" s="131">
        <v>28.46770134997595</v>
      </c>
      <c r="K50" s="32" t="str">
        <f t="shared" si="0"/>
        <v>Mixed|600to700</v>
      </c>
      <c r="L50" s="131">
        <f>AVERAGE(I50:I52)</f>
        <v>0.31214644792156104</v>
      </c>
      <c r="M50" s="131">
        <f>AVERAGE(J50:J52)</f>
        <v>22.886676885313889</v>
      </c>
      <c r="N50" s="210">
        <f>AVERAGE(I50:I52)</f>
        <v>0.31214644792156104</v>
      </c>
      <c r="O50" s="212">
        <f>AVERAGE(J50:J52)</f>
        <v>22.886676885313889</v>
      </c>
      <c r="P50" s="135"/>
    </row>
    <row r="51" spans="2:16" x14ac:dyDescent="0.2">
      <c r="B51" s="134"/>
      <c r="C51" s="190" t="s">
        <v>212</v>
      </c>
      <c r="D51" s="190" t="s">
        <v>59</v>
      </c>
      <c r="E51" s="190" t="b">
        <v>1</v>
      </c>
      <c r="F51" s="190" t="s">
        <v>8</v>
      </c>
      <c r="G51" s="190" t="s">
        <v>10</v>
      </c>
      <c r="H51" s="36" t="s">
        <v>235</v>
      </c>
      <c r="I51" s="131">
        <v>0.27823236592543132</v>
      </c>
      <c r="J51" s="131">
        <v>20.084995657872135</v>
      </c>
      <c r="K51" s="32" t="str">
        <f t="shared" si="0"/>
        <v>Mixed|600to700</v>
      </c>
      <c r="L51" s="131"/>
      <c r="M51" s="131"/>
      <c r="N51" s="210"/>
      <c r="O51" s="212"/>
      <c r="P51" s="135"/>
    </row>
    <row r="52" spans="2:16" x14ac:dyDescent="0.2">
      <c r="B52" s="134"/>
      <c r="C52" s="190" t="s">
        <v>212</v>
      </c>
      <c r="D52" s="190" t="s">
        <v>59</v>
      </c>
      <c r="E52" s="190" t="b">
        <v>1</v>
      </c>
      <c r="F52" s="190" t="s">
        <v>8</v>
      </c>
      <c r="G52" s="190" t="s">
        <v>11</v>
      </c>
      <c r="H52" s="36" t="s">
        <v>236</v>
      </c>
      <c r="I52" s="131">
        <v>0.59087560361483038</v>
      </c>
      <c r="J52" s="131">
        <v>20.107333648093586</v>
      </c>
      <c r="K52" s="32" t="str">
        <f t="shared" si="0"/>
        <v>Mixed|600to700</v>
      </c>
      <c r="L52" s="131"/>
      <c r="M52" s="131"/>
      <c r="N52" s="210"/>
      <c r="O52" s="212"/>
      <c r="P52" s="135"/>
    </row>
    <row r="53" spans="2:16" x14ac:dyDescent="0.2">
      <c r="B53" s="134"/>
      <c r="C53" s="190" t="s">
        <v>245</v>
      </c>
      <c r="D53" s="190" t="s">
        <v>7</v>
      </c>
      <c r="E53" s="190" t="b">
        <v>1</v>
      </c>
      <c r="F53" s="190" t="s">
        <v>8</v>
      </c>
      <c r="G53" s="190" t="s">
        <v>9</v>
      </c>
      <c r="H53" s="36" t="str">
        <f>D53&amp;"|"&amp;E53&amp;"|"&amp;F53&amp;"|"&amp;G53</f>
        <v>Cereals|TRUE|600to700|FreeDrain</v>
      </c>
      <c r="I53" s="131">
        <v>5.4758291159478389E-2</v>
      </c>
      <c r="J53" s="131">
        <v>26.097664130544416</v>
      </c>
      <c r="K53" s="36"/>
      <c r="L53" s="131"/>
      <c r="M53" s="131"/>
      <c r="N53" s="210"/>
      <c r="O53" s="212"/>
      <c r="P53" s="135"/>
    </row>
    <row r="54" spans="2:16" x14ac:dyDescent="0.2">
      <c r="B54" s="134"/>
      <c r="C54" s="190" t="s">
        <v>245</v>
      </c>
      <c r="D54" s="190" t="s">
        <v>7</v>
      </c>
      <c r="E54" s="190" t="b">
        <v>1</v>
      </c>
      <c r="F54" s="190" t="s">
        <v>8</v>
      </c>
      <c r="G54" s="190" t="s">
        <v>10</v>
      </c>
      <c r="H54" s="36" t="str">
        <f t="shared" ref="H54:H102" si="1">D54&amp;"|"&amp;E54&amp;"|"&amp;F54&amp;"|"&amp;G54</f>
        <v>Cereals|TRUE|600to700|DrainedAr</v>
      </c>
      <c r="I54" s="131">
        <v>0.31368206010369076</v>
      </c>
      <c r="J54" s="131">
        <v>19.217505586467382</v>
      </c>
      <c r="K54" s="36"/>
      <c r="L54" s="131"/>
      <c r="M54" s="131"/>
      <c r="N54" s="210"/>
      <c r="O54" s="212"/>
      <c r="P54" s="135"/>
    </row>
    <row r="55" spans="2:16" x14ac:dyDescent="0.2">
      <c r="B55" s="134"/>
      <c r="C55" s="190" t="s">
        <v>245</v>
      </c>
      <c r="D55" s="190" t="s">
        <v>7</v>
      </c>
      <c r="E55" s="190" t="b">
        <v>1</v>
      </c>
      <c r="F55" s="190" t="s">
        <v>8</v>
      </c>
      <c r="G55" s="190" t="s">
        <v>11</v>
      </c>
      <c r="H55" s="36" t="str">
        <f t="shared" si="1"/>
        <v>Cereals|TRUE|600to700|DrainedArGr</v>
      </c>
      <c r="I55" s="131">
        <v>0.52238854423953363</v>
      </c>
      <c r="J55" s="131">
        <v>20.588244314451117</v>
      </c>
      <c r="K55" s="36"/>
      <c r="L55" s="131"/>
      <c r="M55" s="131"/>
      <c r="N55" s="210"/>
      <c r="O55" s="212"/>
      <c r="P55" s="135"/>
    </row>
    <row r="56" spans="2:16" x14ac:dyDescent="0.2">
      <c r="B56" s="134"/>
      <c r="C56" s="190" t="s">
        <v>245</v>
      </c>
      <c r="D56" s="190" t="s">
        <v>7</v>
      </c>
      <c r="E56" s="190" t="b">
        <v>1</v>
      </c>
      <c r="F56" s="190" t="s">
        <v>12</v>
      </c>
      <c r="G56" s="190" t="s">
        <v>9</v>
      </c>
      <c r="H56" s="36" t="str">
        <f t="shared" si="1"/>
        <v>Cereals|TRUE|700to900|FreeDrain</v>
      </c>
      <c r="I56" s="131">
        <v>0.15113934055486639</v>
      </c>
      <c r="J56" s="131">
        <v>31.264610275754908</v>
      </c>
      <c r="K56" s="36"/>
      <c r="L56" s="131"/>
      <c r="M56" s="131"/>
      <c r="N56" s="210"/>
      <c r="O56" s="212"/>
      <c r="P56" s="135"/>
    </row>
    <row r="57" spans="2:16" x14ac:dyDescent="0.2">
      <c r="B57" s="134"/>
      <c r="C57" s="190" t="s">
        <v>245</v>
      </c>
      <c r="D57" s="190" t="s">
        <v>7</v>
      </c>
      <c r="E57" s="190" t="b">
        <v>1</v>
      </c>
      <c r="F57" s="190" t="s">
        <v>12</v>
      </c>
      <c r="G57" s="190" t="s">
        <v>10</v>
      </c>
      <c r="H57" s="36" t="str">
        <f t="shared" si="1"/>
        <v>Cereals|TRUE|700to900|DrainedAr</v>
      </c>
      <c r="I57" s="131">
        <v>0.6789041413788427</v>
      </c>
      <c r="J57" s="131">
        <v>24.053985232649449</v>
      </c>
      <c r="K57" s="36"/>
      <c r="L57" s="131"/>
      <c r="M57" s="131"/>
      <c r="N57" s="210"/>
      <c r="O57" s="212"/>
      <c r="P57" s="135"/>
    </row>
    <row r="58" spans="2:16" x14ac:dyDescent="0.2">
      <c r="B58" s="134"/>
      <c r="C58" s="190" t="s">
        <v>245</v>
      </c>
      <c r="D58" s="190" t="s">
        <v>7</v>
      </c>
      <c r="E58" s="190" t="b">
        <v>1</v>
      </c>
      <c r="F58" s="190" t="s">
        <v>12</v>
      </c>
      <c r="G58" s="190" t="s">
        <v>11</v>
      </c>
      <c r="H58" s="36" t="str">
        <f t="shared" si="1"/>
        <v>Cereals|TRUE|700to900|DrainedArGr</v>
      </c>
      <c r="I58" s="131">
        <v>0.92643264998714114</v>
      </c>
      <c r="J58" s="131">
        <v>22.638827496307716</v>
      </c>
      <c r="K58" s="36"/>
      <c r="L58" s="131"/>
      <c r="M58" s="131"/>
      <c r="N58" s="210"/>
      <c r="O58" s="212"/>
      <c r="P58" s="135"/>
    </row>
    <row r="59" spans="2:16" x14ac:dyDescent="0.2">
      <c r="B59" s="134"/>
      <c r="C59" s="190" t="s">
        <v>245</v>
      </c>
      <c r="D59" s="190" t="s">
        <v>25</v>
      </c>
      <c r="E59" s="190" t="b">
        <v>1</v>
      </c>
      <c r="F59" s="190" t="s">
        <v>8</v>
      </c>
      <c r="G59" s="190" t="s">
        <v>9</v>
      </c>
      <c r="H59" s="36" t="str">
        <f t="shared" si="1"/>
        <v>General|TRUE|600to700|FreeDrain</v>
      </c>
      <c r="I59" s="131">
        <v>4.7203709236680429E-2</v>
      </c>
      <c r="J59" s="131">
        <v>24.267469011295056</v>
      </c>
      <c r="K59" s="36"/>
      <c r="L59" s="131"/>
      <c r="M59" s="131"/>
      <c r="N59" s="210"/>
      <c r="O59" s="212"/>
      <c r="P59" s="135"/>
    </row>
    <row r="60" spans="2:16" x14ac:dyDescent="0.2">
      <c r="B60" s="134"/>
      <c r="C60" s="190" t="s">
        <v>245</v>
      </c>
      <c r="D60" s="190" t="s">
        <v>25</v>
      </c>
      <c r="E60" s="190" t="b">
        <v>1</v>
      </c>
      <c r="F60" s="190" t="s">
        <v>8</v>
      </c>
      <c r="G60" s="190" t="s">
        <v>10</v>
      </c>
      <c r="H60" s="36" t="str">
        <f t="shared" si="1"/>
        <v>General|TRUE|600to700|DrainedAr</v>
      </c>
      <c r="I60" s="131">
        <v>0.25751689232604963</v>
      </c>
      <c r="J60" s="131">
        <v>17.125175771459141</v>
      </c>
      <c r="K60" s="36"/>
      <c r="L60" s="131"/>
      <c r="M60" s="131"/>
      <c r="N60" s="210"/>
      <c r="O60" s="212"/>
      <c r="P60" s="135"/>
    </row>
    <row r="61" spans="2:16" x14ac:dyDescent="0.2">
      <c r="B61" s="134"/>
      <c r="C61" s="190" t="s">
        <v>245</v>
      </c>
      <c r="D61" s="190" t="s">
        <v>25</v>
      </c>
      <c r="E61" s="190" t="b">
        <v>1</v>
      </c>
      <c r="F61" s="190" t="s">
        <v>8</v>
      </c>
      <c r="G61" s="190" t="s">
        <v>11</v>
      </c>
      <c r="H61" s="36" t="str">
        <f t="shared" si="1"/>
        <v>General|TRUE|600to700|DrainedArGr</v>
      </c>
      <c r="I61" s="131">
        <v>0.46211072841261575</v>
      </c>
      <c r="J61" s="131">
        <v>17.804164470935529</v>
      </c>
      <c r="K61" s="36"/>
      <c r="L61" s="131"/>
      <c r="M61" s="131"/>
      <c r="N61" s="210"/>
      <c r="O61" s="212"/>
      <c r="P61" s="135"/>
    </row>
    <row r="62" spans="2:16" x14ac:dyDescent="0.2">
      <c r="B62" s="134"/>
      <c r="C62" s="190" t="s">
        <v>245</v>
      </c>
      <c r="D62" s="190" t="s">
        <v>25</v>
      </c>
      <c r="E62" s="190" t="b">
        <v>1</v>
      </c>
      <c r="F62" s="190" t="s">
        <v>12</v>
      </c>
      <c r="G62" s="190" t="s">
        <v>9</v>
      </c>
      <c r="H62" s="36" t="str">
        <f t="shared" si="1"/>
        <v>General|TRUE|700to900|FreeDrain</v>
      </c>
      <c r="I62" s="131">
        <v>0.12736340665066848</v>
      </c>
      <c r="J62" s="131">
        <v>28.95445030347198</v>
      </c>
      <c r="K62" s="36"/>
      <c r="L62" s="131"/>
      <c r="M62" s="131"/>
      <c r="N62" s="210"/>
      <c r="O62" s="212"/>
      <c r="P62" s="135"/>
    </row>
    <row r="63" spans="2:16" x14ac:dyDescent="0.2">
      <c r="B63" s="134"/>
      <c r="C63" s="190" t="s">
        <v>245</v>
      </c>
      <c r="D63" s="190" t="s">
        <v>25</v>
      </c>
      <c r="E63" s="190" t="b">
        <v>1</v>
      </c>
      <c r="F63" s="190" t="s">
        <v>12</v>
      </c>
      <c r="G63" s="190" t="s">
        <v>10</v>
      </c>
      <c r="H63" s="36" t="str">
        <f t="shared" si="1"/>
        <v>General|TRUE|700to900|DrainedAr</v>
      </c>
      <c r="I63" s="131">
        <v>0.53757632070201089</v>
      </c>
      <c r="J63" s="131">
        <v>21.295321760471161</v>
      </c>
      <c r="K63" s="36"/>
      <c r="L63" s="131"/>
      <c r="M63" s="131"/>
      <c r="N63" s="210"/>
      <c r="O63" s="212"/>
      <c r="P63" s="135"/>
    </row>
    <row r="64" spans="2:16" x14ac:dyDescent="0.2">
      <c r="B64" s="134"/>
      <c r="C64" s="190" t="s">
        <v>245</v>
      </c>
      <c r="D64" s="190" t="s">
        <v>25</v>
      </c>
      <c r="E64" s="190" t="b">
        <v>1</v>
      </c>
      <c r="F64" s="190" t="s">
        <v>12</v>
      </c>
      <c r="G64" s="190" t="s">
        <v>11</v>
      </c>
      <c r="H64" s="36" t="str">
        <f t="shared" si="1"/>
        <v>General|TRUE|700to900|DrainedArGr</v>
      </c>
      <c r="I64" s="131">
        <v>0.79787056881918472</v>
      </c>
      <c r="J64" s="131">
        <v>19.220235568893486</v>
      </c>
      <c r="K64" s="36"/>
      <c r="L64" s="131"/>
      <c r="M64" s="131"/>
      <c r="N64" s="210"/>
      <c r="O64" s="212"/>
      <c r="P64" s="135"/>
    </row>
    <row r="65" spans="2:16" x14ac:dyDescent="0.2">
      <c r="B65" s="134"/>
      <c r="C65" s="190" t="s">
        <v>245</v>
      </c>
      <c r="D65" s="190" t="s">
        <v>32</v>
      </c>
      <c r="E65" s="190" t="b">
        <v>1</v>
      </c>
      <c r="F65" s="190" t="s">
        <v>8</v>
      </c>
      <c r="G65" s="190" t="s">
        <v>9</v>
      </c>
      <c r="H65" s="36" t="str">
        <f t="shared" si="1"/>
        <v>Horticulture|TRUE|600to700|FreeDrain</v>
      </c>
      <c r="I65" s="131">
        <v>5.007317446231474E-2</v>
      </c>
      <c r="J65" s="131">
        <v>22.361581949154878</v>
      </c>
      <c r="K65" s="36"/>
      <c r="L65" s="131"/>
      <c r="M65" s="131"/>
      <c r="N65" s="210"/>
      <c r="O65" s="212"/>
      <c r="P65" s="135"/>
    </row>
    <row r="66" spans="2:16" x14ac:dyDescent="0.2">
      <c r="B66" s="134"/>
      <c r="C66" s="190" t="s">
        <v>245</v>
      </c>
      <c r="D66" s="190" t="s">
        <v>32</v>
      </c>
      <c r="E66" s="190" t="b">
        <v>1</v>
      </c>
      <c r="F66" s="190" t="s">
        <v>8</v>
      </c>
      <c r="G66" s="190" t="s">
        <v>10</v>
      </c>
      <c r="H66" s="36" t="str">
        <f t="shared" si="1"/>
        <v>Horticulture|TRUE|600to700|DrainedAr</v>
      </c>
      <c r="I66" s="131">
        <v>0.2978020402274163</v>
      </c>
      <c r="J66" s="131">
        <v>15.619493402967697</v>
      </c>
      <c r="K66" s="36"/>
      <c r="L66" s="131"/>
      <c r="M66" s="131"/>
      <c r="N66" s="210"/>
      <c r="O66" s="212"/>
      <c r="P66" s="135"/>
    </row>
    <row r="67" spans="2:16" x14ac:dyDescent="0.2">
      <c r="B67" s="134"/>
      <c r="C67" s="190" t="s">
        <v>245</v>
      </c>
      <c r="D67" s="190" t="s">
        <v>32</v>
      </c>
      <c r="E67" s="190" t="b">
        <v>1</v>
      </c>
      <c r="F67" s="190" t="s">
        <v>8</v>
      </c>
      <c r="G67" s="190" t="s">
        <v>11</v>
      </c>
      <c r="H67" s="36" t="str">
        <f t="shared" si="1"/>
        <v>Horticulture|TRUE|600to700|DrainedArGr</v>
      </c>
      <c r="I67" s="131">
        <v>0.51833271449004059</v>
      </c>
      <c r="J67" s="131">
        <v>16.119212654548829</v>
      </c>
      <c r="K67" s="36"/>
      <c r="L67" s="131"/>
      <c r="M67" s="131"/>
      <c r="N67" s="210"/>
      <c r="O67" s="212"/>
      <c r="P67" s="135"/>
    </row>
    <row r="68" spans="2:16" x14ac:dyDescent="0.2">
      <c r="B68" s="134"/>
      <c r="C68" s="190" t="s">
        <v>245</v>
      </c>
      <c r="D68" s="190" t="s">
        <v>32</v>
      </c>
      <c r="E68" s="190" t="b">
        <v>1</v>
      </c>
      <c r="F68" s="190" t="s">
        <v>12</v>
      </c>
      <c r="G68" s="190" t="s">
        <v>9</v>
      </c>
      <c r="H68" s="36" t="str">
        <f t="shared" si="1"/>
        <v>Horticulture|TRUE|700to900|FreeDrain</v>
      </c>
      <c r="I68" s="131">
        <v>0.13917557686190518</v>
      </c>
      <c r="J68" s="131">
        <v>26.544062183846687</v>
      </c>
      <c r="K68" s="36"/>
      <c r="L68" s="131"/>
      <c r="M68" s="131"/>
      <c r="N68" s="210"/>
      <c r="O68" s="212"/>
      <c r="P68" s="135"/>
    </row>
    <row r="69" spans="2:16" x14ac:dyDescent="0.2">
      <c r="B69" s="134"/>
      <c r="C69" s="190" t="s">
        <v>245</v>
      </c>
      <c r="D69" s="190" t="s">
        <v>32</v>
      </c>
      <c r="E69" s="190" t="b">
        <v>1</v>
      </c>
      <c r="F69" s="190" t="s">
        <v>12</v>
      </c>
      <c r="G69" s="190" t="s">
        <v>10</v>
      </c>
      <c r="H69" s="36" t="str">
        <f t="shared" si="1"/>
        <v>Horticulture|TRUE|700to900|DrainedAr</v>
      </c>
      <c r="I69" s="131">
        <v>0.62989016060118286</v>
      </c>
      <c r="J69" s="131">
        <v>19.340671758810458</v>
      </c>
      <c r="K69" s="36"/>
      <c r="L69" s="131"/>
      <c r="M69" s="131"/>
      <c r="N69" s="210"/>
      <c r="O69" s="212"/>
      <c r="P69" s="135"/>
    </row>
    <row r="70" spans="2:16" x14ac:dyDescent="0.2">
      <c r="B70" s="134"/>
      <c r="C70" s="190" t="s">
        <v>245</v>
      </c>
      <c r="D70" s="190" t="s">
        <v>32</v>
      </c>
      <c r="E70" s="190" t="b">
        <v>1</v>
      </c>
      <c r="F70" s="190" t="s">
        <v>12</v>
      </c>
      <c r="G70" s="190" t="s">
        <v>11</v>
      </c>
      <c r="H70" s="36" t="str">
        <f t="shared" si="1"/>
        <v>Horticulture|TRUE|700to900|DrainedArGr</v>
      </c>
      <c r="I70" s="131">
        <v>0.90014177848609278</v>
      </c>
      <c r="J70" s="131">
        <v>17.3248237867538</v>
      </c>
      <c r="K70" s="36"/>
      <c r="L70" s="131"/>
      <c r="M70" s="131"/>
      <c r="N70" s="210"/>
      <c r="O70" s="212"/>
      <c r="P70" s="135"/>
    </row>
    <row r="71" spans="2:16" x14ac:dyDescent="0.2">
      <c r="B71" s="134"/>
      <c r="C71" s="190" t="s">
        <v>245</v>
      </c>
      <c r="D71" s="190" t="s">
        <v>42</v>
      </c>
      <c r="E71" s="190" t="b">
        <v>1</v>
      </c>
      <c r="F71" s="190" t="s">
        <v>8</v>
      </c>
      <c r="G71" s="190" t="s">
        <v>10</v>
      </c>
      <c r="H71" s="36" t="str">
        <f t="shared" si="1"/>
        <v>Pig|TRUE|600to700|DrainedAr</v>
      </c>
      <c r="I71" s="131">
        <v>0.29000834989115537</v>
      </c>
      <c r="J71" s="131">
        <v>44.199843405896061</v>
      </c>
      <c r="K71" s="36"/>
      <c r="L71" s="131"/>
      <c r="M71" s="131"/>
      <c r="N71" s="210"/>
      <c r="O71" s="212"/>
      <c r="P71" s="135"/>
    </row>
    <row r="72" spans="2:16" x14ac:dyDescent="0.2">
      <c r="B72" s="134"/>
      <c r="C72" s="190" t="s">
        <v>245</v>
      </c>
      <c r="D72" s="190" t="s">
        <v>42</v>
      </c>
      <c r="E72" s="190" t="b">
        <v>1</v>
      </c>
      <c r="F72" s="190" t="s">
        <v>8</v>
      </c>
      <c r="G72" s="190" t="s">
        <v>11</v>
      </c>
      <c r="H72" s="36" t="str">
        <f t="shared" si="1"/>
        <v>Pig|TRUE|600to700|DrainedArGr</v>
      </c>
      <c r="I72" s="131">
        <v>0.56349441021371027</v>
      </c>
      <c r="J72" s="131">
        <v>41.740468209709178</v>
      </c>
      <c r="K72" s="36"/>
      <c r="L72" s="131"/>
      <c r="M72" s="131"/>
      <c r="N72" s="210"/>
      <c r="O72" s="212"/>
      <c r="P72" s="135"/>
    </row>
    <row r="73" spans="2:16" x14ac:dyDescent="0.2">
      <c r="B73" s="134"/>
      <c r="C73" s="190" t="s">
        <v>245</v>
      </c>
      <c r="D73" s="190" t="s">
        <v>42</v>
      </c>
      <c r="E73" s="190" t="b">
        <v>1</v>
      </c>
      <c r="F73" s="190" t="s">
        <v>12</v>
      </c>
      <c r="G73" s="190" t="s">
        <v>9</v>
      </c>
      <c r="H73" s="36" t="str">
        <f t="shared" si="1"/>
        <v>Pig|TRUE|700to900|FreeDrain</v>
      </c>
      <c r="I73" s="131">
        <v>0.16220540596407718</v>
      </c>
      <c r="J73" s="131">
        <v>81.366048926295576</v>
      </c>
      <c r="K73" s="36"/>
      <c r="L73" s="131"/>
      <c r="M73" s="131"/>
      <c r="N73" s="210"/>
      <c r="O73" s="212"/>
      <c r="P73" s="135"/>
    </row>
    <row r="74" spans="2:16" x14ac:dyDescent="0.2">
      <c r="B74" s="134"/>
      <c r="C74" s="190" t="s">
        <v>245</v>
      </c>
      <c r="D74" s="190" t="s">
        <v>42</v>
      </c>
      <c r="E74" s="190" t="b">
        <v>1</v>
      </c>
      <c r="F74" s="190" t="s">
        <v>12</v>
      </c>
      <c r="G74" s="190" t="s">
        <v>10</v>
      </c>
      <c r="H74" s="36" t="str">
        <f t="shared" si="1"/>
        <v>Pig|TRUE|700to900|DrainedAr</v>
      </c>
      <c r="I74" s="131">
        <v>0.6103516470000665</v>
      </c>
      <c r="J74" s="131">
        <v>55.058153984710437</v>
      </c>
      <c r="K74" s="36"/>
      <c r="L74" s="131"/>
      <c r="M74" s="131"/>
      <c r="N74" s="210"/>
      <c r="O74" s="212"/>
      <c r="P74" s="135"/>
    </row>
    <row r="75" spans="2:16" x14ac:dyDescent="0.2">
      <c r="B75" s="134"/>
      <c r="C75" s="190" t="s">
        <v>245</v>
      </c>
      <c r="D75" s="190" t="s">
        <v>42</v>
      </c>
      <c r="E75" s="190" t="b">
        <v>1</v>
      </c>
      <c r="F75" s="190" t="s">
        <v>12</v>
      </c>
      <c r="G75" s="190" t="s">
        <v>11</v>
      </c>
      <c r="H75" s="36" t="str">
        <f t="shared" si="1"/>
        <v>Pig|TRUE|700to900|DrainedArGr</v>
      </c>
      <c r="I75" s="131">
        <v>0.95250830496086714</v>
      </c>
      <c r="J75" s="131">
        <v>45.263589085876184</v>
      </c>
      <c r="K75" s="36"/>
      <c r="L75" s="131"/>
      <c r="M75" s="131"/>
      <c r="N75" s="210"/>
      <c r="O75" s="212"/>
      <c r="P75" s="135"/>
    </row>
    <row r="76" spans="2:16" x14ac:dyDescent="0.2">
      <c r="B76" s="134"/>
      <c r="C76" s="190" t="s">
        <v>245</v>
      </c>
      <c r="D76" s="190" t="s">
        <v>47</v>
      </c>
      <c r="E76" s="190" t="b">
        <v>1</v>
      </c>
      <c r="F76" s="190" t="s">
        <v>8</v>
      </c>
      <c r="G76" s="190" t="s">
        <v>9</v>
      </c>
      <c r="H76" s="36" t="str">
        <f t="shared" si="1"/>
        <v>Poultry|TRUE|600to700|FreeDrain</v>
      </c>
      <c r="I76" s="131">
        <v>7.3153777801118841E-2</v>
      </c>
      <c r="J76" s="131">
        <v>83.308925510384967</v>
      </c>
      <c r="K76" s="36"/>
      <c r="L76" s="131"/>
      <c r="M76" s="131"/>
      <c r="N76" s="210"/>
      <c r="O76" s="212"/>
      <c r="P76" s="135"/>
    </row>
    <row r="77" spans="2:16" x14ac:dyDescent="0.2">
      <c r="B77" s="134"/>
      <c r="C77" s="190" t="s">
        <v>245</v>
      </c>
      <c r="D77" s="190" t="s">
        <v>47</v>
      </c>
      <c r="E77" s="190" t="b">
        <v>1</v>
      </c>
      <c r="F77" s="190" t="s">
        <v>8</v>
      </c>
      <c r="G77" s="190" t="s">
        <v>10</v>
      </c>
      <c r="H77" s="36" t="str">
        <f t="shared" si="1"/>
        <v>Poultry|TRUE|600to700|DrainedAr</v>
      </c>
      <c r="I77" s="131">
        <v>0.25663501350975493</v>
      </c>
      <c r="J77" s="131">
        <v>52.76778400971223</v>
      </c>
      <c r="K77" s="36"/>
      <c r="L77" s="131"/>
      <c r="M77" s="131"/>
      <c r="N77" s="210"/>
      <c r="O77" s="212"/>
      <c r="P77" s="135"/>
    </row>
    <row r="78" spans="2:16" x14ac:dyDescent="0.2">
      <c r="B78" s="134"/>
      <c r="C78" s="190" t="s">
        <v>245</v>
      </c>
      <c r="D78" s="190" t="s">
        <v>47</v>
      </c>
      <c r="E78" s="190" t="b">
        <v>1</v>
      </c>
      <c r="F78" s="190" t="s">
        <v>8</v>
      </c>
      <c r="G78" s="190" t="s">
        <v>11</v>
      </c>
      <c r="H78" s="36" t="str">
        <f t="shared" si="1"/>
        <v>Poultry|TRUE|600to700|DrainedArGr</v>
      </c>
      <c r="I78" s="131">
        <v>0.48469761608744732</v>
      </c>
      <c r="J78" s="131">
        <v>49.178873253443804</v>
      </c>
      <c r="K78" s="36"/>
      <c r="L78" s="131"/>
      <c r="M78" s="131"/>
      <c r="N78" s="210"/>
      <c r="O78" s="212"/>
      <c r="P78" s="135"/>
    </row>
    <row r="79" spans="2:16" x14ac:dyDescent="0.2">
      <c r="B79" s="134"/>
      <c r="C79" s="190" t="s">
        <v>245</v>
      </c>
      <c r="D79" s="190" t="s">
        <v>47</v>
      </c>
      <c r="E79" s="190" t="b">
        <v>1</v>
      </c>
      <c r="F79" s="190" t="s">
        <v>12</v>
      </c>
      <c r="G79" s="190" t="s">
        <v>9</v>
      </c>
      <c r="H79" s="36" t="str">
        <f t="shared" si="1"/>
        <v>Poultry|TRUE|700to900|FreeDrain</v>
      </c>
      <c r="I79" s="131">
        <v>0.17216673368251434</v>
      </c>
      <c r="J79" s="131">
        <v>98.368792883583424</v>
      </c>
      <c r="K79" s="36"/>
      <c r="L79" s="131"/>
      <c r="M79" s="131"/>
      <c r="N79" s="210"/>
      <c r="O79" s="212"/>
      <c r="P79" s="135"/>
    </row>
    <row r="80" spans="2:16" x14ac:dyDescent="0.2">
      <c r="B80" s="134"/>
      <c r="C80" s="190" t="s">
        <v>245</v>
      </c>
      <c r="D80" s="190" t="s">
        <v>47</v>
      </c>
      <c r="E80" s="190" t="b">
        <v>1</v>
      </c>
      <c r="F80" s="190" t="s">
        <v>12</v>
      </c>
      <c r="G80" s="190" t="s">
        <v>10</v>
      </c>
      <c r="H80" s="36" t="str">
        <f t="shared" si="1"/>
        <v>Poultry|TRUE|700to900|DrainedAr</v>
      </c>
      <c r="I80" s="131">
        <v>0.53854458249674153</v>
      </c>
      <c r="J80" s="131">
        <v>65.575327385042129</v>
      </c>
      <c r="K80" s="36"/>
      <c r="L80" s="131"/>
      <c r="M80" s="131"/>
      <c r="N80" s="210"/>
      <c r="O80" s="212"/>
      <c r="P80" s="135"/>
    </row>
    <row r="81" spans="2:16" x14ac:dyDescent="0.2">
      <c r="B81" s="134"/>
      <c r="C81" s="190" t="s">
        <v>245</v>
      </c>
      <c r="D81" s="190" t="s">
        <v>47</v>
      </c>
      <c r="E81" s="190" t="b">
        <v>1</v>
      </c>
      <c r="F81" s="190" t="s">
        <v>12</v>
      </c>
      <c r="G81" s="190" t="s">
        <v>11</v>
      </c>
      <c r="H81" s="36" t="str">
        <f t="shared" si="1"/>
        <v>Poultry|TRUE|700to900|DrainedArGr</v>
      </c>
      <c r="I81" s="131">
        <v>0.84262713370340148</v>
      </c>
      <c r="J81" s="131">
        <v>53.068906345029205</v>
      </c>
      <c r="K81" s="36"/>
      <c r="L81" s="131"/>
      <c r="M81" s="131"/>
      <c r="N81" s="210"/>
      <c r="O81" s="212"/>
      <c r="P81" s="135"/>
    </row>
    <row r="82" spans="2:16" x14ac:dyDescent="0.2">
      <c r="B82" s="134"/>
      <c r="C82" s="190" t="s">
        <v>245</v>
      </c>
      <c r="D82" s="190" t="s">
        <v>55</v>
      </c>
      <c r="E82" s="190" t="b">
        <v>1</v>
      </c>
      <c r="F82" s="190" t="s">
        <v>8</v>
      </c>
      <c r="G82" s="190" t="s">
        <v>9</v>
      </c>
      <c r="H82" s="36" t="str">
        <f t="shared" si="1"/>
        <v>Dairy|TRUE|600to700|FreeDrain</v>
      </c>
      <c r="I82" s="131">
        <v>0.13811967047018098</v>
      </c>
      <c r="J82" s="131">
        <v>39.105280296064663</v>
      </c>
      <c r="K82" s="36"/>
      <c r="L82" s="131"/>
      <c r="M82" s="131"/>
      <c r="N82" s="210"/>
      <c r="O82" s="212"/>
      <c r="P82" s="135"/>
    </row>
    <row r="83" spans="2:16" x14ac:dyDescent="0.2">
      <c r="B83" s="134"/>
      <c r="C83" s="190" t="s">
        <v>245</v>
      </c>
      <c r="D83" s="190" t="s">
        <v>55</v>
      </c>
      <c r="E83" s="190" t="b">
        <v>1</v>
      </c>
      <c r="F83" s="190" t="s">
        <v>8</v>
      </c>
      <c r="G83" s="190" t="s">
        <v>10</v>
      </c>
      <c r="H83" s="36" t="str">
        <f t="shared" si="1"/>
        <v>Dairy|TRUE|600to700|DrainedAr</v>
      </c>
      <c r="I83" s="131">
        <v>0.24779752177792891</v>
      </c>
      <c r="J83" s="131">
        <v>26.082176319132742</v>
      </c>
      <c r="K83" s="36"/>
      <c r="L83" s="131"/>
      <c r="M83" s="131"/>
      <c r="N83" s="210"/>
      <c r="O83" s="212"/>
      <c r="P83" s="135"/>
    </row>
    <row r="84" spans="2:16" x14ac:dyDescent="0.2">
      <c r="B84" s="134"/>
      <c r="C84" s="190" t="s">
        <v>245</v>
      </c>
      <c r="D84" s="190" t="s">
        <v>55</v>
      </c>
      <c r="E84" s="190" t="b">
        <v>1</v>
      </c>
      <c r="F84" s="190" t="s">
        <v>8</v>
      </c>
      <c r="G84" s="190" t="s">
        <v>11</v>
      </c>
      <c r="H84" s="36" t="str">
        <f t="shared" si="1"/>
        <v>Dairy|TRUE|600to700|DrainedArGr</v>
      </c>
      <c r="I84" s="131">
        <v>0.95192473538015687</v>
      </c>
      <c r="J84" s="131">
        <v>19.895182922583963</v>
      </c>
      <c r="K84" s="36"/>
      <c r="L84" s="131"/>
      <c r="M84" s="131"/>
      <c r="N84" s="210"/>
      <c r="O84" s="212"/>
      <c r="P84" s="135"/>
    </row>
    <row r="85" spans="2:16" x14ac:dyDescent="0.2">
      <c r="B85" s="134"/>
      <c r="C85" s="190" t="s">
        <v>245</v>
      </c>
      <c r="D85" s="190" t="s">
        <v>55</v>
      </c>
      <c r="E85" s="190" t="b">
        <v>1</v>
      </c>
      <c r="F85" s="190" t="s">
        <v>12</v>
      </c>
      <c r="G85" s="190" t="s">
        <v>9</v>
      </c>
      <c r="H85" s="36" t="str">
        <f t="shared" si="1"/>
        <v>Dairy|TRUE|700to900|FreeDrain</v>
      </c>
      <c r="I85" s="131">
        <v>0.21660378895948118</v>
      </c>
      <c r="J85" s="131">
        <v>53.843254038501591</v>
      </c>
      <c r="K85" s="36"/>
      <c r="L85" s="131"/>
      <c r="M85" s="131"/>
      <c r="N85" s="210"/>
      <c r="O85" s="212"/>
      <c r="P85" s="135"/>
    </row>
    <row r="86" spans="2:16" x14ac:dyDescent="0.2">
      <c r="B86" s="134"/>
      <c r="C86" s="190" t="s">
        <v>245</v>
      </c>
      <c r="D86" s="190" t="s">
        <v>55</v>
      </c>
      <c r="E86" s="190" t="b">
        <v>1</v>
      </c>
      <c r="F86" s="190" t="s">
        <v>12</v>
      </c>
      <c r="G86" s="190" t="s">
        <v>10</v>
      </c>
      <c r="H86" s="36" t="str">
        <f t="shared" si="1"/>
        <v>Dairy|TRUE|700to900|DrainedAr</v>
      </c>
      <c r="I86" s="131">
        <v>0.43216854496425822</v>
      </c>
      <c r="J86" s="131">
        <v>41.37403387625978</v>
      </c>
      <c r="K86" s="36"/>
      <c r="L86" s="131"/>
      <c r="M86" s="131"/>
      <c r="N86" s="210"/>
      <c r="O86" s="212"/>
      <c r="P86" s="135"/>
    </row>
    <row r="87" spans="2:16" x14ac:dyDescent="0.2">
      <c r="B87" s="134"/>
      <c r="C87" s="190" t="s">
        <v>245</v>
      </c>
      <c r="D87" s="190" t="s">
        <v>55</v>
      </c>
      <c r="E87" s="190" t="b">
        <v>1</v>
      </c>
      <c r="F87" s="190" t="s">
        <v>12</v>
      </c>
      <c r="G87" s="190" t="s">
        <v>11</v>
      </c>
      <c r="H87" s="36" t="str">
        <f t="shared" si="1"/>
        <v>Dairy|TRUE|700to900|DrainedArGr</v>
      </c>
      <c r="I87" s="131">
        <v>1.3919941604921613</v>
      </c>
      <c r="J87" s="131">
        <v>23.979326929023301</v>
      </c>
      <c r="K87" s="36"/>
      <c r="L87" s="131"/>
      <c r="M87" s="131"/>
      <c r="N87" s="210"/>
      <c r="O87" s="212"/>
      <c r="P87" s="135"/>
    </row>
    <row r="88" spans="2:16" x14ac:dyDescent="0.2">
      <c r="B88" s="134"/>
      <c r="C88" s="190" t="s">
        <v>245</v>
      </c>
      <c r="D88" s="190" t="s">
        <v>57</v>
      </c>
      <c r="E88" s="190" t="b">
        <v>1</v>
      </c>
      <c r="F88" s="190" t="s">
        <v>8</v>
      </c>
      <c r="G88" s="190" t="s">
        <v>9</v>
      </c>
      <c r="H88" s="36" t="str">
        <f t="shared" si="1"/>
        <v>LFA|TRUE|600to700|FreeDrain</v>
      </c>
      <c r="I88" s="131">
        <v>5.2016299850466782E-2</v>
      </c>
      <c r="J88" s="131">
        <v>8.3159741115753842</v>
      </c>
      <c r="K88" s="36"/>
      <c r="L88" s="131"/>
      <c r="M88" s="131"/>
      <c r="N88" s="210"/>
      <c r="O88" s="212"/>
      <c r="P88" s="135"/>
    </row>
    <row r="89" spans="2:16" x14ac:dyDescent="0.2">
      <c r="B89" s="134"/>
      <c r="C89" s="190" t="s">
        <v>245</v>
      </c>
      <c r="D89" s="190" t="s">
        <v>57</v>
      </c>
      <c r="E89" s="190" t="b">
        <v>1</v>
      </c>
      <c r="F89" s="190" t="s">
        <v>8</v>
      </c>
      <c r="G89" s="190" t="s">
        <v>10</v>
      </c>
      <c r="H89" s="36" t="str">
        <f t="shared" si="1"/>
        <v>LFA|TRUE|600to700|DrainedAr</v>
      </c>
      <c r="I89" s="131">
        <v>6.1643258544545408E-2</v>
      </c>
      <c r="J89" s="131">
        <v>5.7300792131620497</v>
      </c>
      <c r="K89" s="36"/>
      <c r="L89" s="131"/>
      <c r="M89" s="131"/>
      <c r="N89" s="210"/>
      <c r="O89" s="212"/>
      <c r="P89" s="135"/>
    </row>
    <row r="90" spans="2:16" x14ac:dyDescent="0.2">
      <c r="B90" s="134"/>
      <c r="C90" s="190" t="s">
        <v>245</v>
      </c>
      <c r="D90" s="190" t="s">
        <v>57</v>
      </c>
      <c r="E90" s="190" t="b">
        <v>1</v>
      </c>
      <c r="F90" s="190" t="s">
        <v>8</v>
      </c>
      <c r="G90" s="190" t="s">
        <v>11</v>
      </c>
      <c r="H90" s="36" t="str">
        <f t="shared" si="1"/>
        <v>LFA|TRUE|600to700|DrainedArGr</v>
      </c>
      <c r="I90" s="131">
        <v>0.34370029324891388</v>
      </c>
      <c r="J90" s="131">
        <v>5.6786130159519104</v>
      </c>
      <c r="K90" s="36"/>
      <c r="L90" s="131"/>
      <c r="M90" s="131"/>
      <c r="N90" s="210"/>
      <c r="O90" s="212"/>
      <c r="P90" s="135"/>
    </row>
    <row r="91" spans="2:16" x14ac:dyDescent="0.2">
      <c r="B91" s="134"/>
      <c r="C91" s="190" t="s">
        <v>245</v>
      </c>
      <c r="D91" s="190" t="s">
        <v>58</v>
      </c>
      <c r="E91" s="190" t="b">
        <v>1</v>
      </c>
      <c r="F91" s="190" t="s">
        <v>8</v>
      </c>
      <c r="G91" s="190" t="s">
        <v>9</v>
      </c>
      <c r="H91" s="36" t="str">
        <f t="shared" si="1"/>
        <v>Lowland|TRUE|600to700|FreeDrain</v>
      </c>
      <c r="I91" s="131">
        <v>6.803951474826947E-2</v>
      </c>
      <c r="J91" s="131">
        <v>13.348015627045742</v>
      </c>
      <c r="K91" s="36"/>
      <c r="L91" s="131"/>
      <c r="M91" s="131"/>
      <c r="N91" s="210"/>
      <c r="O91" s="212"/>
      <c r="P91" s="135"/>
    </row>
    <row r="92" spans="2:16" x14ac:dyDescent="0.2">
      <c r="B92" s="134"/>
      <c r="C92" s="190" t="s">
        <v>245</v>
      </c>
      <c r="D92" s="190" t="s">
        <v>58</v>
      </c>
      <c r="E92" s="190" t="b">
        <v>1</v>
      </c>
      <c r="F92" s="190" t="s">
        <v>8</v>
      </c>
      <c r="G92" s="190" t="s">
        <v>10</v>
      </c>
      <c r="H92" s="36" t="str">
        <f t="shared" si="1"/>
        <v>Lowland|TRUE|600to700|DrainedAr</v>
      </c>
      <c r="I92" s="131">
        <v>0.10965234734832199</v>
      </c>
      <c r="J92" s="131">
        <v>9.0559159799604583</v>
      </c>
      <c r="K92" s="36"/>
      <c r="L92" s="131"/>
      <c r="M92" s="131"/>
      <c r="N92" s="210"/>
      <c r="O92" s="212"/>
      <c r="P92" s="135"/>
    </row>
    <row r="93" spans="2:16" x14ac:dyDescent="0.2">
      <c r="B93" s="134"/>
      <c r="C93" s="190" t="s">
        <v>245</v>
      </c>
      <c r="D93" s="190" t="s">
        <v>58</v>
      </c>
      <c r="E93" s="190" t="b">
        <v>1</v>
      </c>
      <c r="F93" s="190" t="s">
        <v>8</v>
      </c>
      <c r="G93" s="190" t="s">
        <v>11</v>
      </c>
      <c r="H93" s="36" t="str">
        <f t="shared" si="1"/>
        <v>Lowland|TRUE|600to700|DrainedArGr</v>
      </c>
      <c r="I93" s="131">
        <v>0.47528699872208302</v>
      </c>
      <c r="J93" s="131">
        <v>8.453323852144532</v>
      </c>
      <c r="K93" s="36"/>
      <c r="L93" s="131"/>
      <c r="M93" s="131"/>
      <c r="N93" s="210"/>
      <c r="O93" s="212"/>
      <c r="P93" s="135"/>
    </row>
    <row r="94" spans="2:16" x14ac:dyDescent="0.2">
      <c r="B94" s="134"/>
      <c r="C94" s="190" t="s">
        <v>245</v>
      </c>
      <c r="D94" s="190" t="s">
        <v>58</v>
      </c>
      <c r="E94" s="190" t="b">
        <v>1</v>
      </c>
      <c r="F94" s="190" t="s">
        <v>12</v>
      </c>
      <c r="G94" s="190" t="s">
        <v>9</v>
      </c>
      <c r="H94" s="36" t="str">
        <f t="shared" si="1"/>
        <v>Lowland|TRUE|700to900|FreeDrain</v>
      </c>
      <c r="I94" s="131">
        <v>0.11857135684907197</v>
      </c>
      <c r="J94" s="131">
        <v>18.583581395328199</v>
      </c>
      <c r="K94" s="36"/>
      <c r="L94" s="131"/>
      <c r="M94" s="131"/>
      <c r="N94" s="210"/>
      <c r="O94" s="212"/>
      <c r="P94" s="135"/>
    </row>
    <row r="95" spans="2:16" x14ac:dyDescent="0.2">
      <c r="B95" s="134"/>
      <c r="C95" s="190" t="s">
        <v>245</v>
      </c>
      <c r="D95" s="190" t="s">
        <v>58</v>
      </c>
      <c r="E95" s="190" t="b">
        <v>1</v>
      </c>
      <c r="F95" s="190" t="s">
        <v>12</v>
      </c>
      <c r="G95" s="190" t="s">
        <v>10</v>
      </c>
      <c r="H95" s="36" t="str">
        <f t="shared" si="1"/>
        <v>Lowland|TRUE|700to900|DrainedAr</v>
      </c>
      <c r="I95" s="131">
        <v>0.19706289766228996</v>
      </c>
      <c r="J95" s="131">
        <v>14.439603117902275</v>
      </c>
      <c r="K95" s="36"/>
      <c r="L95" s="131"/>
      <c r="M95" s="131"/>
      <c r="N95" s="210"/>
      <c r="O95" s="212"/>
      <c r="P95" s="135"/>
    </row>
    <row r="96" spans="2:16" x14ac:dyDescent="0.2">
      <c r="B96" s="134"/>
      <c r="C96" s="190" t="s">
        <v>245</v>
      </c>
      <c r="D96" s="190" t="s">
        <v>58</v>
      </c>
      <c r="E96" s="190" t="b">
        <v>1</v>
      </c>
      <c r="F96" s="190" t="s">
        <v>12</v>
      </c>
      <c r="G96" s="190" t="s">
        <v>11</v>
      </c>
      <c r="H96" s="36" t="str">
        <f t="shared" si="1"/>
        <v>Lowland|TRUE|700to900|DrainedArGr</v>
      </c>
      <c r="I96" s="131">
        <v>0.74823776345045157</v>
      </c>
      <c r="J96" s="131">
        <v>10.351817497247966</v>
      </c>
      <c r="K96" s="36"/>
      <c r="L96" s="131"/>
      <c r="M96" s="131"/>
      <c r="N96" s="210"/>
      <c r="O96" s="212"/>
      <c r="P96" s="135"/>
    </row>
    <row r="97" spans="2:16" x14ac:dyDescent="0.2">
      <c r="B97" s="134"/>
      <c r="C97" s="190" t="s">
        <v>245</v>
      </c>
      <c r="D97" s="190" t="s">
        <v>59</v>
      </c>
      <c r="E97" s="190" t="b">
        <v>1</v>
      </c>
      <c r="F97" s="190" t="s">
        <v>8</v>
      </c>
      <c r="G97" s="190" t="s">
        <v>9</v>
      </c>
      <c r="H97" s="36" t="str">
        <f t="shared" si="1"/>
        <v>Mixed|TRUE|600to700|FreeDrain</v>
      </c>
      <c r="I97" s="131">
        <v>6.8985905403576644E-2</v>
      </c>
      <c r="J97" s="131">
        <v>25.322658687837006</v>
      </c>
      <c r="K97" s="36"/>
      <c r="L97" s="131"/>
      <c r="M97" s="131"/>
      <c r="N97" s="210"/>
      <c r="O97" s="212"/>
      <c r="P97" s="135"/>
    </row>
    <row r="98" spans="2:16" x14ac:dyDescent="0.2">
      <c r="B98" s="134"/>
      <c r="C98" s="190" t="s">
        <v>245</v>
      </c>
      <c r="D98" s="190" t="s">
        <v>59</v>
      </c>
      <c r="E98" s="190" t="b">
        <v>1</v>
      </c>
      <c r="F98" s="190" t="s">
        <v>8</v>
      </c>
      <c r="G98" s="190" t="s">
        <v>10</v>
      </c>
      <c r="H98" s="36" t="str">
        <f t="shared" si="1"/>
        <v>Mixed|TRUE|600to700|DrainedAr</v>
      </c>
      <c r="I98" s="131">
        <v>0.25879428017504386</v>
      </c>
      <c r="J98" s="131">
        <v>17.915965496964862</v>
      </c>
      <c r="K98" s="36"/>
      <c r="L98" s="131"/>
      <c r="M98" s="131"/>
      <c r="N98" s="210"/>
      <c r="O98" s="212"/>
      <c r="P98" s="135"/>
    </row>
    <row r="99" spans="2:16" x14ac:dyDescent="0.2">
      <c r="B99" s="134"/>
      <c r="C99" s="190" t="s">
        <v>245</v>
      </c>
      <c r="D99" s="190" t="s">
        <v>59</v>
      </c>
      <c r="E99" s="190" t="b">
        <v>1</v>
      </c>
      <c r="F99" s="190" t="s">
        <v>8</v>
      </c>
      <c r="G99" s="190" t="s">
        <v>11</v>
      </c>
      <c r="H99" s="36" t="str">
        <f t="shared" si="1"/>
        <v>Mixed|TRUE|600to700|DrainedArGr</v>
      </c>
      <c r="I99" s="131">
        <v>0.57398345452074129</v>
      </c>
      <c r="J99" s="131">
        <v>17.969987976510488</v>
      </c>
      <c r="K99" s="36"/>
      <c r="L99" s="131"/>
      <c r="M99" s="131"/>
      <c r="N99" s="210"/>
      <c r="O99" s="212"/>
      <c r="P99" s="135"/>
    </row>
    <row r="100" spans="2:16" x14ac:dyDescent="0.2">
      <c r="B100" s="134"/>
      <c r="C100" s="190" t="s">
        <v>245</v>
      </c>
      <c r="D100" s="190" t="s">
        <v>59</v>
      </c>
      <c r="E100" s="190" t="b">
        <v>1</v>
      </c>
      <c r="F100" s="190" t="s">
        <v>12</v>
      </c>
      <c r="G100" s="190" t="s">
        <v>9</v>
      </c>
      <c r="H100" s="36" t="str">
        <f t="shared" si="1"/>
        <v>Mixed|TRUE|700to900|FreeDrain</v>
      </c>
      <c r="I100" s="131">
        <v>0.1575484509436918</v>
      </c>
      <c r="J100" s="131">
        <v>31.528929326410029</v>
      </c>
      <c r="K100" s="36"/>
      <c r="L100" s="131"/>
      <c r="M100" s="131"/>
      <c r="N100" s="210"/>
      <c r="O100" s="212"/>
      <c r="P100" s="135"/>
    </row>
    <row r="101" spans="2:16" x14ac:dyDescent="0.2">
      <c r="B101" s="134"/>
      <c r="C101" s="190" t="s">
        <v>245</v>
      </c>
      <c r="D101" s="190" t="s">
        <v>59</v>
      </c>
      <c r="E101" s="190" t="b">
        <v>1</v>
      </c>
      <c r="F101" s="190" t="s">
        <v>12</v>
      </c>
      <c r="G101" s="190" t="s">
        <v>10</v>
      </c>
      <c r="H101" s="36" t="str">
        <f t="shared" si="1"/>
        <v>Mixed|TRUE|700to900|DrainedAr</v>
      </c>
      <c r="I101" s="131">
        <v>0.55149925444485248</v>
      </c>
      <c r="J101" s="131">
        <v>23.875379344513174</v>
      </c>
      <c r="K101" s="36"/>
      <c r="L101" s="131"/>
      <c r="M101" s="131"/>
      <c r="N101" s="210"/>
      <c r="O101" s="212"/>
      <c r="P101" s="135"/>
    </row>
    <row r="102" spans="2:16" x14ac:dyDescent="0.2">
      <c r="B102" s="134"/>
      <c r="C102" s="190" t="s">
        <v>245</v>
      </c>
      <c r="D102" s="190" t="s">
        <v>59</v>
      </c>
      <c r="E102" s="190" t="b">
        <v>1</v>
      </c>
      <c r="F102" s="190" t="s">
        <v>12</v>
      </c>
      <c r="G102" s="190" t="s">
        <v>11</v>
      </c>
      <c r="H102" s="36" t="str">
        <f t="shared" si="1"/>
        <v>Mixed|TRUE|700to900|DrainedArGr</v>
      </c>
      <c r="I102" s="131">
        <v>0.96310754883623428</v>
      </c>
      <c r="J102" s="131">
        <v>20.056367271699592</v>
      </c>
      <c r="K102" s="36"/>
      <c r="L102" s="131"/>
      <c r="M102" s="131"/>
      <c r="N102" s="210"/>
      <c r="O102" s="212"/>
      <c r="P102" s="135"/>
    </row>
    <row r="103" spans="2:16" x14ac:dyDescent="0.2">
      <c r="B103" s="134"/>
      <c r="C103" s="190" t="s">
        <v>111</v>
      </c>
      <c r="D103" s="190" t="s">
        <v>111</v>
      </c>
      <c r="E103" s="190" t="s">
        <v>111</v>
      </c>
      <c r="F103" s="190" t="s">
        <v>111</v>
      </c>
      <c r="G103" s="213" t="s">
        <v>60</v>
      </c>
      <c r="H103" s="47" t="str">
        <f>"|"&amp;"|"&amp;"|"&amp;G103</f>
        <v>|||Greenspace</v>
      </c>
      <c r="I103" s="214">
        <v>0.02</v>
      </c>
      <c r="J103" s="37">
        <v>3</v>
      </c>
      <c r="K103" s="27"/>
      <c r="L103" s="27"/>
      <c r="M103" s="27"/>
      <c r="N103" s="27"/>
      <c r="O103" s="27"/>
      <c r="P103" s="135"/>
    </row>
    <row r="104" spans="2:16" x14ac:dyDescent="0.2">
      <c r="B104" s="134"/>
      <c r="C104" s="190" t="s">
        <v>111</v>
      </c>
      <c r="D104" s="190" t="s">
        <v>111</v>
      </c>
      <c r="E104" s="190" t="s">
        <v>111</v>
      </c>
      <c r="F104" s="190" t="s">
        <v>111</v>
      </c>
      <c r="G104" s="213" t="s">
        <v>66</v>
      </c>
      <c r="H104" s="47" t="str">
        <f>"|"&amp;"|"&amp;"|"&amp;G104</f>
        <v>|||Community food growing</v>
      </c>
      <c r="I104" s="191">
        <f>IFERROR(VLOOKUP((VLOOKUP('Stage 2'!$E$9,Lookups!$C$140:$D$140,2,FALSE)&amp;"|"&amp;"General"&amp;"|"&amp;"FALSE"&amp;"|"&amp;VLOOKUP('Stage 2'!$E$11,Lookups!$C$114:$E$136,3,FALSE)&amp;"|"&amp;"FreeDrain"),$H$26:$O$52,2,FALSE), IFERROR(VLOOKUP("General"&amp;"|"&amp;VLOOKUP('Stage 2'!$E$11,Lookups!$C$114:$E$136,3,FALSE),$K$26:$O$52,2,FALSE),VLOOKUP("General",D26:O52,11,FALSE)))</f>
        <v>0.36821434812090448</v>
      </c>
      <c r="J104" s="192">
        <f>IFERROR(VLOOKUP((VLOOKUP('Stage 2'!$E$9,Lookups!$C$140:$D$140,2,FALSE)&amp;"|"&amp;"General"&amp;"|"&amp;"FALSE"&amp;"|"&amp;VLOOKUP('Stage 2'!$E$11,Lookups!$C$114:$E$136,3,FALSE)&amp;"|"&amp;"FreeDrain"),$H$26:$O$52,2,FALSE), IFERROR(VLOOKUP("General"&amp;"|"&amp;VLOOKUP('Stage 2'!$E$11,Lookups!$C$114:$E$136,3,FALSE),$K$26:$O$52,2,FALSE),VLOOKUP("General",D26:O52,12,FALSE)))</f>
        <v>26.613355401299181</v>
      </c>
      <c r="K104" s="27"/>
      <c r="L104" s="27"/>
      <c r="M104" s="27"/>
      <c r="N104" s="27"/>
      <c r="O104" s="27"/>
      <c r="P104" s="135"/>
    </row>
    <row r="105" spans="2:16" x14ac:dyDescent="0.2">
      <c r="B105" s="134"/>
      <c r="C105" s="190" t="s">
        <v>111</v>
      </c>
      <c r="D105" s="190" t="s">
        <v>111</v>
      </c>
      <c r="E105" s="190" t="s">
        <v>111</v>
      </c>
      <c r="F105" s="190" t="s">
        <v>111</v>
      </c>
      <c r="G105" s="213" t="s">
        <v>61</v>
      </c>
      <c r="H105" s="47" t="str">
        <f>"|"&amp;"|"&amp;"|"&amp;G105</f>
        <v>|||Woodland</v>
      </c>
      <c r="I105" s="214">
        <v>0.02</v>
      </c>
      <c r="J105" s="37">
        <v>3</v>
      </c>
      <c r="K105" s="27"/>
      <c r="L105" s="27"/>
      <c r="M105" s="27"/>
      <c r="N105" s="27"/>
      <c r="O105" s="27"/>
      <c r="P105" s="135"/>
    </row>
    <row r="106" spans="2:16" x14ac:dyDescent="0.2">
      <c r="B106" s="134"/>
      <c r="C106" s="190" t="s">
        <v>111</v>
      </c>
      <c r="D106" s="190" t="s">
        <v>111</v>
      </c>
      <c r="E106" s="190" t="s">
        <v>111</v>
      </c>
      <c r="F106" s="190" t="s">
        <v>111</v>
      </c>
      <c r="G106" s="213" t="s">
        <v>62</v>
      </c>
      <c r="H106" s="47" t="str">
        <f>"|"&amp;"|"&amp;"|"&amp;G106</f>
        <v>|||Shrub</v>
      </c>
      <c r="I106" s="214">
        <v>0.02</v>
      </c>
      <c r="J106" s="37">
        <v>3</v>
      </c>
      <c r="K106" s="27"/>
      <c r="L106" s="27"/>
      <c r="M106" s="27"/>
      <c r="N106" s="27"/>
      <c r="O106" s="27"/>
      <c r="P106" s="135"/>
    </row>
    <row r="107" spans="2:16" x14ac:dyDescent="0.2">
      <c r="B107" s="134"/>
      <c r="C107" s="190" t="s">
        <v>111</v>
      </c>
      <c r="D107" s="190" t="s">
        <v>111</v>
      </c>
      <c r="E107" s="190" t="s">
        <v>111</v>
      </c>
      <c r="F107" s="190" t="s">
        <v>111</v>
      </c>
      <c r="G107" s="213" t="s">
        <v>63</v>
      </c>
      <c r="H107" s="47" t="str">
        <f>"|"&amp;"|"&amp;"|"&amp;G107</f>
        <v>|||Water</v>
      </c>
      <c r="I107" s="214">
        <v>0</v>
      </c>
      <c r="J107" s="37">
        <v>0</v>
      </c>
      <c r="K107" s="27"/>
      <c r="L107" s="27"/>
      <c r="M107" s="27"/>
      <c r="N107" s="27"/>
      <c r="O107" s="27"/>
      <c r="P107" s="135"/>
    </row>
    <row r="108" spans="2:16" x14ac:dyDescent="0.2">
      <c r="B108" s="134"/>
      <c r="C108" s="190" t="s">
        <v>111</v>
      </c>
      <c r="D108" s="190" t="s">
        <v>111</v>
      </c>
      <c r="E108" s="190" t="s">
        <v>111</v>
      </c>
      <c r="F108" s="190" t="s">
        <v>111</v>
      </c>
      <c r="G108" s="47" t="s">
        <v>64</v>
      </c>
      <c r="H108" s="47" t="str">
        <f t="shared" ref="H108:H110" si="2">"|"&amp;"|"&amp;"|"&amp;G108</f>
        <v>|||Residential urban land</v>
      </c>
      <c r="I108" s="131" t="e">
        <f>VLOOKUP('Stage 2'!E11,Lookups!C114:H136,6,FALSE)</f>
        <v>#N/A</v>
      </c>
      <c r="J108" s="37" t="e">
        <f>VLOOKUP('Stage 2'!E11,Lookups!C114:K136,9,FALSE)</f>
        <v>#N/A</v>
      </c>
      <c r="K108" s="27"/>
      <c r="L108" s="27"/>
      <c r="M108" s="27"/>
      <c r="N108" s="27"/>
      <c r="O108" s="27"/>
      <c r="P108" s="135"/>
    </row>
    <row r="109" spans="2:16" x14ac:dyDescent="0.2">
      <c r="B109" s="134"/>
      <c r="C109" s="190" t="s">
        <v>111</v>
      </c>
      <c r="D109" s="190" t="s">
        <v>111</v>
      </c>
      <c r="E109" s="190" t="s">
        <v>111</v>
      </c>
      <c r="F109" s="190" t="s">
        <v>111</v>
      </c>
      <c r="G109" s="47" t="s">
        <v>98</v>
      </c>
      <c r="H109" s="47" t="str">
        <f t="shared" si="2"/>
        <v>|||Commercial/industrial urban land</v>
      </c>
      <c r="I109" s="131" t="e">
        <f>VLOOKUP('Stage 2'!E11,Lookups!C114:I136,7,FALSE)</f>
        <v>#N/A</v>
      </c>
      <c r="J109" s="37" t="e">
        <f>VLOOKUP('Stage 2'!E11,Lookups!C114:M136,10,FALSE)</f>
        <v>#N/A</v>
      </c>
      <c r="K109" s="27"/>
      <c r="L109" s="27"/>
      <c r="M109" s="27"/>
      <c r="N109" s="27"/>
      <c r="O109" s="27"/>
      <c r="P109" s="135"/>
    </row>
    <row r="110" spans="2:16" x14ac:dyDescent="0.2">
      <c r="B110" s="134"/>
      <c r="C110" s="190" t="s">
        <v>111</v>
      </c>
      <c r="D110" s="190" t="s">
        <v>111</v>
      </c>
      <c r="E110" s="190" t="s">
        <v>111</v>
      </c>
      <c r="F110" s="190" t="s">
        <v>111</v>
      </c>
      <c r="G110" s="47" t="s">
        <v>65</v>
      </c>
      <c r="H110" s="47" t="str">
        <f t="shared" si="2"/>
        <v>|||Open urban land</v>
      </c>
      <c r="I110" s="131" t="e">
        <f>VLOOKUP('Stage 2'!E11,Lookups!C114:J136,8,FALSE)</f>
        <v>#N/A</v>
      </c>
      <c r="J110" s="37" t="e">
        <f>VLOOKUP('Stage 2'!E11,Lookups!C114:P136,11,FALSE)</f>
        <v>#N/A</v>
      </c>
      <c r="K110" s="27"/>
      <c r="L110" s="27"/>
      <c r="M110" s="27"/>
      <c r="N110" s="27"/>
      <c r="O110" s="27"/>
      <c r="P110" s="135"/>
    </row>
    <row r="111" spans="2:16" x14ac:dyDescent="0.2">
      <c r="B111" s="134"/>
      <c r="C111" s="27"/>
      <c r="D111" s="27"/>
      <c r="E111" s="27"/>
      <c r="F111" s="27"/>
      <c r="G111" s="27"/>
      <c r="H111" s="27"/>
      <c r="I111" s="28"/>
      <c r="J111" s="28"/>
      <c r="K111" s="27"/>
      <c r="L111" s="27"/>
      <c r="M111" s="27"/>
      <c r="N111" s="27"/>
      <c r="O111" s="27"/>
      <c r="P111" s="135"/>
    </row>
    <row r="112" spans="2:16" x14ac:dyDescent="0.2">
      <c r="B112" s="134"/>
      <c r="C112" s="27" t="s">
        <v>188</v>
      </c>
      <c r="D112" s="27"/>
      <c r="E112" s="27"/>
      <c r="F112" s="27"/>
      <c r="G112" s="27"/>
      <c r="H112" s="27"/>
      <c r="I112" s="28"/>
      <c r="J112" s="28"/>
      <c r="K112" s="27"/>
      <c r="L112" s="27"/>
      <c r="M112" s="27"/>
      <c r="N112" s="27"/>
      <c r="O112" s="27"/>
      <c r="P112" s="135"/>
    </row>
    <row r="113" spans="2:16" ht="30.75" thickBot="1" x14ac:dyDescent="0.25">
      <c r="B113" s="134"/>
      <c r="C113" s="35" t="s">
        <v>29</v>
      </c>
      <c r="D113" s="48" t="s">
        <v>112</v>
      </c>
      <c r="E113" s="48" t="s">
        <v>113</v>
      </c>
      <c r="F113" s="48" t="s">
        <v>121</v>
      </c>
      <c r="G113" s="48" t="s">
        <v>189</v>
      </c>
      <c r="H113" s="48" t="s">
        <v>118</v>
      </c>
      <c r="I113" s="48" t="s">
        <v>119</v>
      </c>
      <c r="J113" s="48" t="s">
        <v>120</v>
      </c>
      <c r="K113" s="48" t="s">
        <v>115</v>
      </c>
      <c r="L113" s="35" t="s">
        <v>116</v>
      </c>
      <c r="M113" s="132" t="s">
        <v>117</v>
      </c>
      <c r="N113" s="209"/>
      <c r="O113" s="209"/>
      <c r="P113" s="135"/>
    </row>
    <row r="114" spans="2:16" ht="15" thickTop="1" x14ac:dyDescent="0.2">
      <c r="B114" s="134"/>
      <c r="C114" s="49" t="s">
        <v>30</v>
      </c>
      <c r="D114" s="191">
        <v>516.5</v>
      </c>
      <c r="E114" s="50" t="s">
        <v>114</v>
      </c>
      <c r="F114" s="191">
        <v>47.366326420209788</v>
      </c>
      <c r="G114" s="191">
        <v>63.946326420209786</v>
      </c>
      <c r="H114" s="191">
        <v>1.0030530114375726</v>
      </c>
      <c r="I114" s="191">
        <v>0.73394122788115068</v>
      </c>
      <c r="J114" s="191">
        <v>0.5382235671128438</v>
      </c>
      <c r="K114" s="191">
        <v>9.4130591148709328</v>
      </c>
      <c r="L114" s="193">
        <v>5.0202981945978298</v>
      </c>
      <c r="M114" s="192">
        <v>5.5487506361344439</v>
      </c>
      <c r="N114" s="194"/>
      <c r="O114" s="194"/>
      <c r="P114" s="135"/>
    </row>
    <row r="115" spans="2:16" x14ac:dyDescent="0.2">
      <c r="B115" s="134"/>
      <c r="C115" s="49" t="s">
        <v>31</v>
      </c>
      <c r="D115" s="191">
        <v>537.54999999999995</v>
      </c>
      <c r="E115" s="50" t="s">
        <v>114</v>
      </c>
      <c r="F115" s="191">
        <v>47.605509573313697</v>
      </c>
      <c r="G115" s="191">
        <v>64.185509573313695</v>
      </c>
      <c r="H115" s="191">
        <v>1.049204008516526</v>
      </c>
      <c r="I115" s="191">
        <v>0.76771025013404326</v>
      </c>
      <c r="J115" s="191">
        <v>0.56298751676496517</v>
      </c>
      <c r="K115" s="191">
        <v>9.8333323912734105</v>
      </c>
      <c r="L115" s="193">
        <v>5.2444439420124853</v>
      </c>
      <c r="M115" s="192">
        <v>5.7964906727506413</v>
      </c>
      <c r="N115" s="194"/>
      <c r="O115" s="194"/>
      <c r="P115" s="135"/>
    </row>
    <row r="116" spans="2:16" x14ac:dyDescent="0.2">
      <c r="B116" s="134"/>
      <c r="C116" s="49" t="s">
        <v>33</v>
      </c>
      <c r="D116" s="191">
        <v>562.54999999999995</v>
      </c>
      <c r="E116" s="50" t="s">
        <v>114</v>
      </c>
      <c r="F116" s="191">
        <v>47.8624816470968</v>
      </c>
      <c r="G116" s="191">
        <v>64.442481647096798</v>
      </c>
      <c r="H116" s="191">
        <v>1.1039266010735462</v>
      </c>
      <c r="I116" s="191">
        <v>0.80775117151722908</v>
      </c>
      <c r="J116" s="191">
        <v>0.59235085911263463</v>
      </c>
      <c r="K116" s="191">
        <v>10.331853644413675</v>
      </c>
      <c r="L116" s="193">
        <v>5.5103219436872939</v>
      </c>
      <c r="M116" s="192">
        <v>6.0903558324964822</v>
      </c>
      <c r="N116" s="194"/>
      <c r="O116" s="194"/>
      <c r="P116" s="135"/>
    </row>
    <row r="117" spans="2:16" x14ac:dyDescent="0.2">
      <c r="B117" s="134"/>
      <c r="C117" s="49" t="s">
        <v>34</v>
      </c>
      <c r="D117" s="191">
        <v>587.54999999999995</v>
      </c>
      <c r="E117" s="50" t="s">
        <v>114</v>
      </c>
      <c r="F117" s="191">
        <v>48.089720428979902</v>
      </c>
      <c r="G117" s="191">
        <v>64.6697204289799</v>
      </c>
      <c r="H117" s="191">
        <v>1.1584597247599329</v>
      </c>
      <c r="I117" s="191">
        <v>0.84765345714141427</v>
      </c>
      <c r="J117" s="191">
        <v>0.62161253523703719</v>
      </c>
      <c r="K117" s="191">
        <v>10.829057857843434</v>
      </c>
      <c r="L117" s="193">
        <v>5.775497524183165</v>
      </c>
      <c r="M117" s="192">
        <v>6.3834446319919191</v>
      </c>
      <c r="N117" s="194"/>
      <c r="O117" s="194"/>
      <c r="P117" s="135"/>
    </row>
    <row r="118" spans="2:16" x14ac:dyDescent="0.2">
      <c r="B118" s="134"/>
      <c r="C118" s="49" t="s">
        <v>35</v>
      </c>
      <c r="D118" s="191">
        <v>612.54999999999995</v>
      </c>
      <c r="E118" s="50" t="s">
        <v>8</v>
      </c>
      <c r="F118" s="191">
        <v>48.286892468962989</v>
      </c>
      <c r="G118" s="191">
        <v>64.866892468962988</v>
      </c>
      <c r="H118" s="191">
        <v>1.2127035752563942</v>
      </c>
      <c r="I118" s="191">
        <v>0.88734407945589822</v>
      </c>
      <c r="J118" s="191">
        <v>0.650718991600992</v>
      </c>
      <c r="K118" s="191">
        <v>11.324251269831036</v>
      </c>
      <c r="L118" s="193">
        <v>6.0396006772432189</v>
      </c>
      <c r="M118" s="192">
        <v>6.6753481169530309</v>
      </c>
      <c r="N118" s="194"/>
      <c r="O118" s="194"/>
      <c r="P118" s="135"/>
    </row>
    <row r="119" spans="2:16" x14ac:dyDescent="0.2">
      <c r="B119" s="134"/>
      <c r="C119" s="49" t="s">
        <v>36</v>
      </c>
      <c r="D119" s="191">
        <v>637.54999999999995</v>
      </c>
      <c r="E119" s="50" t="s">
        <v>8</v>
      </c>
      <c r="F119" s="191">
        <v>48.453664317046091</v>
      </c>
      <c r="G119" s="191">
        <v>65.033664317046089</v>
      </c>
      <c r="H119" s="191">
        <v>1.2665569810986419</v>
      </c>
      <c r="I119" s="191">
        <v>0.92674901055998193</v>
      </c>
      <c r="J119" s="191">
        <v>0.67961594107732015</v>
      </c>
      <c r="K119" s="191">
        <v>11.816730615319829</v>
      </c>
      <c r="L119" s="193">
        <v>6.302256328170575</v>
      </c>
      <c r="M119" s="192">
        <v>6.9656517311358979</v>
      </c>
      <c r="N119" s="194"/>
      <c r="O119" s="194"/>
      <c r="P119" s="135"/>
    </row>
    <row r="120" spans="2:16" x14ac:dyDescent="0.2">
      <c r="B120" s="134"/>
      <c r="C120" s="49" t="s">
        <v>37</v>
      </c>
      <c r="D120" s="191">
        <v>662.55</v>
      </c>
      <c r="E120" s="50" t="s">
        <v>8</v>
      </c>
      <c r="F120" s="191">
        <v>48.589702523229192</v>
      </c>
      <c r="G120" s="191">
        <v>65.169702523229191</v>
      </c>
      <c r="H120" s="191">
        <v>1.3199174036773855</v>
      </c>
      <c r="I120" s="191">
        <v>0.96579322220296504</v>
      </c>
      <c r="J120" s="191">
        <v>0.70824836294884108</v>
      </c>
      <c r="K120" s="191">
        <v>12.305783125928167</v>
      </c>
      <c r="L120" s="193">
        <v>6.5630843338283551</v>
      </c>
      <c r="M120" s="192">
        <v>7.2539353163366025</v>
      </c>
      <c r="N120" s="194"/>
      <c r="O120" s="194"/>
      <c r="P120" s="135"/>
    </row>
    <row r="121" spans="2:16" x14ac:dyDescent="0.2">
      <c r="B121" s="134"/>
      <c r="C121" s="49" t="s">
        <v>38</v>
      </c>
      <c r="D121" s="191">
        <v>687.55</v>
      </c>
      <c r="E121" s="50" t="s">
        <v>8</v>
      </c>
      <c r="F121" s="191">
        <v>48.694673637512295</v>
      </c>
      <c r="G121" s="191">
        <v>65.274673637512294</v>
      </c>
      <c r="H121" s="191">
        <v>1.3726809372383346</v>
      </c>
      <c r="I121" s="191">
        <v>1.0044006857841474</v>
      </c>
      <c r="J121" s="191">
        <v>0.73656050290837471</v>
      </c>
      <c r="K121" s="191">
        <v>12.790686529949399</v>
      </c>
      <c r="L121" s="193">
        <v>6.82169948263968</v>
      </c>
      <c r="M121" s="192">
        <v>7.5397731123912237</v>
      </c>
      <c r="N121" s="194"/>
      <c r="O121" s="194"/>
      <c r="P121" s="135"/>
    </row>
    <row r="122" spans="2:16" x14ac:dyDescent="0.2">
      <c r="B122" s="134"/>
      <c r="C122" s="49" t="s">
        <v>39</v>
      </c>
      <c r="D122" s="191">
        <v>725.05</v>
      </c>
      <c r="E122" s="50" t="s">
        <v>12</v>
      </c>
      <c r="F122" s="191">
        <v>48.793150089749446</v>
      </c>
      <c r="G122" s="191">
        <v>65.373150089749444</v>
      </c>
      <c r="H122" s="191">
        <v>1.4504764123754863</v>
      </c>
      <c r="I122" s="191">
        <v>1.0613242041771849</v>
      </c>
      <c r="J122" s="191">
        <v>0.77830441639660242</v>
      </c>
      <c r="K122" s="191">
        <v>13.508658704683258</v>
      </c>
      <c r="L122" s="193">
        <v>7.20461797583107</v>
      </c>
      <c r="M122" s="192">
        <v>7.9629988153922353</v>
      </c>
      <c r="N122" s="194"/>
      <c r="O122" s="194"/>
      <c r="P122" s="135"/>
    </row>
    <row r="123" spans="2:16" x14ac:dyDescent="0.2">
      <c r="B123" s="134"/>
      <c r="C123" s="49" t="s">
        <v>40</v>
      </c>
      <c r="D123" s="191">
        <v>775.05</v>
      </c>
      <c r="E123" s="50" t="s">
        <v>12</v>
      </c>
      <c r="F123" s="191">
        <v>48.817999999999984</v>
      </c>
      <c r="G123" s="191">
        <v>65.397999999999982</v>
      </c>
      <c r="H123" s="191">
        <v>1.5512920268999992</v>
      </c>
      <c r="I123" s="191">
        <v>1.1350917269999994</v>
      </c>
      <c r="J123" s="191">
        <v>0.83240059979999959</v>
      </c>
      <c r="K123" s="191">
        <v>14.445715171499996</v>
      </c>
      <c r="L123" s="193">
        <v>7.7043814247999975</v>
      </c>
      <c r="M123" s="192">
        <v>8.5153689431999986</v>
      </c>
      <c r="N123" s="194"/>
      <c r="O123" s="194"/>
      <c r="P123" s="135"/>
    </row>
    <row r="124" spans="2:16" x14ac:dyDescent="0.2">
      <c r="B124" s="134"/>
      <c r="C124" s="49" t="s">
        <v>41</v>
      </c>
      <c r="D124" s="191">
        <v>825.05</v>
      </c>
      <c r="E124" s="50" t="s">
        <v>12</v>
      </c>
      <c r="F124" s="191">
        <v>48.817999999999984</v>
      </c>
      <c r="G124" s="191">
        <v>65.397999999999982</v>
      </c>
      <c r="H124" s="191">
        <v>1.6513689268999994</v>
      </c>
      <c r="I124" s="191">
        <v>1.2083187269999995</v>
      </c>
      <c r="J124" s="191">
        <v>0.88610039979999966</v>
      </c>
      <c r="K124" s="191">
        <v>15.377636671499994</v>
      </c>
      <c r="L124" s="193">
        <v>8.2014062247999959</v>
      </c>
      <c r="M124" s="192">
        <v>9.064712143199996</v>
      </c>
      <c r="N124" s="194"/>
      <c r="O124" s="194"/>
      <c r="P124" s="135"/>
    </row>
    <row r="125" spans="2:16" x14ac:dyDescent="0.2">
      <c r="B125" s="134"/>
      <c r="C125" s="49" t="s">
        <v>43</v>
      </c>
      <c r="D125" s="191">
        <v>875.05</v>
      </c>
      <c r="E125" s="50" t="s">
        <v>12</v>
      </c>
      <c r="F125" s="191">
        <v>48.817999999999984</v>
      </c>
      <c r="G125" s="191">
        <v>65.397999999999982</v>
      </c>
      <c r="H125" s="191">
        <v>1.7514458268999995</v>
      </c>
      <c r="I125" s="191">
        <v>1.2815457269999997</v>
      </c>
      <c r="J125" s="191">
        <v>0.93980019979999974</v>
      </c>
      <c r="K125" s="191">
        <v>16.309558171499994</v>
      </c>
      <c r="L125" s="193">
        <v>8.6984310247999979</v>
      </c>
      <c r="M125" s="192">
        <v>9.6140553431999969</v>
      </c>
      <c r="N125" s="194"/>
      <c r="O125" s="194"/>
      <c r="P125" s="135"/>
    </row>
    <row r="126" spans="2:16" x14ac:dyDescent="0.2">
      <c r="B126" s="134"/>
      <c r="C126" s="49" t="s">
        <v>44</v>
      </c>
      <c r="D126" s="191">
        <v>925.05</v>
      </c>
      <c r="E126" s="50" t="s">
        <v>22</v>
      </c>
      <c r="F126" s="191">
        <v>48.817999999999984</v>
      </c>
      <c r="G126" s="191">
        <v>65.397999999999982</v>
      </c>
      <c r="H126" s="191">
        <v>1.851522726899999</v>
      </c>
      <c r="I126" s="191">
        <v>1.3547727269999992</v>
      </c>
      <c r="J126" s="191">
        <v>0.99349999979999948</v>
      </c>
      <c r="K126" s="191">
        <v>17.241479671499995</v>
      </c>
      <c r="L126" s="193">
        <v>9.1954558247999962</v>
      </c>
      <c r="M126" s="192">
        <v>10.163398543199996</v>
      </c>
      <c r="N126" s="194"/>
      <c r="O126" s="194"/>
      <c r="P126" s="135"/>
    </row>
    <row r="127" spans="2:16" x14ac:dyDescent="0.2">
      <c r="B127" s="134"/>
      <c r="C127" s="49" t="s">
        <v>45</v>
      </c>
      <c r="D127" s="191">
        <v>975.05</v>
      </c>
      <c r="E127" s="50" t="s">
        <v>22</v>
      </c>
      <c r="F127" s="191">
        <v>48.817999999999984</v>
      </c>
      <c r="G127" s="191">
        <v>65.397999999999982</v>
      </c>
      <c r="H127" s="191">
        <v>1.9515996268999991</v>
      </c>
      <c r="I127" s="191">
        <v>1.4279997269999993</v>
      </c>
      <c r="J127" s="191">
        <v>1.0471997997999996</v>
      </c>
      <c r="K127" s="191">
        <v>18.173401171499993</v>
      </c>
      <c r="L127" s="193">
        <v>9.6924806247999964</v>
      </c>
      <c r="M127" s="192">
        <v>10.712741743199995</v>
      </c>
      <c r="N127" s="194"/>
      <c r="O127" s="194"/>
      <c r="P127" s="135"/>
    </row>
    <row r="128" spans="2:16" x14ac:dyDescent="0.2">
      <c r="B128" s="134"/>
      <c r="C128" s="49" t="s">
        <v>46</v>
      </c>
      <c r="D128" s="191">
        <v>1050.05</v>
      </c>
      <c r="E128" s="50" t="s">
        <v>22</v>
      </c>
      <c r="F128" s="191">
        <v>48.817999999999984</v>
      </c>
      <c r="G128" s="191">
        <v>65.397999999999982</v>
      </c>
      <c r="H128" s="191">
        <v>2.101714976899999</v>
      </c>
      <c r="I128" s="191">
        <v>1.5378402269999993</v>
      </c>
      <c r="J128" s="191">
        <v>1.1277494997999997</v>
      </c>
      <c r="K128" s="191">
        <v>19.571283421499995</v>
      </c>
      <c r="L128" s="193">
        <v>10.438017824799996</v>
      </c>
      <c r="M128" s="192">
        <v>11.536756543199996</v>
      </c>
      <c r="N128" s="194"/>
      <c r="O128" s="194"/>
      <c r="P128" s="135"/>
    </row>
    <row r="129" spans="2:16" x14ac:dyDescent="0.2">
      <c r="B129" s="134"/>
      <c r="C129" s="49" t="s">
        <v>48</v>
      </c>
      <c r="D129" s="191">
        <v>1150.05</v>
      </c>
      <c r="E129" s="50" t="s">
        <v>22</v>
      </c>
      <c r="F129" s="191">
        <v>48.817999999999984</v>
      </c>
      <c r="G129" s="191">
        <v>65.397999999999982</v>
      </c>
      <c r="H129" s="191">
        <v>2.3018687768999988</v>
      </c>
      <c r="I129" s="191">
        <v>1.6842942269999992</v>
      </c>
      <c r="J129" s="191">
        <v>1.2351490997999994</v>
      </c>
      <c r="K129" s="191">
        <v>21.435126421499994</v>
      </c>
      <c r="L129" s="193">
        <v>11.432067424799996</v>
      </c>
      <c r="M129" s="192">
        <v>12.635442943199996</v>
      </c>
      <c r="N129" s="194"/>
      <c r="O129" s="194"/>
      <c r="P129" s="135"/>
    </row>
    <row r="130" spans="2:16" x14ac:dyDescent="0.2">
      <c r="B130" s="134"/>
      <c r="C130" s="49" t="s">
        <v>49</v>
      </c>
      <c r="D130" s="191">
        <v>1300.05</v>
      </c>
      <c r="E130" s="50" t="s">
        <v>27</v>
      </c>
      <c r="F130" s="191">
        <v>48.817999999999984</v>
      </c>
      <c r="G130" s="191">
        <v>65.397999999999982</v>
      </c>
      <c r="H130" s="191">
        <v>2.602099476899999</v>
      </c>
      <c r="I130" s="191">
        <v>1.9039752269999992</v>
      </c>
      <c r="J130" s="191">
        <v>1.3962484997999995</v>
      </c>
      <c r="K130" s="191">
        <v>24.230890921499991</v>
      </c>
      <c r="L130" s="193">
        <v>12.923141824799995</v>
      </c>
      <c r="M130" s="192">
        <v>14.283472543199993</v>
      </c>
      <c r="N130" s="194"/>
      <c r="O130" s="194"/>
      <c r="P130" s="135"/>
    </row>
    <row r="131" spans="2:16" x14ac:dyDescent="0.2">
      <c r="B131" s="134"/>
      <c r="C131" s="49" t="s">
        <v>50</v>
      </c>
      <c r="D131" s="191">
        <v>1500.05</v>
      </c>
      <c r="E131" s="50" t="s">
        <v>27</v>
      </c>
      <c r="F131" s="191">
        <v>48.817999999999984</v>
      </c>
      <c r="G131" s="191">
        <v>65.397999999999982</v>
      </c>
      <c r="H131" s="191">
        <v>3.0024070768999986</v>
      </c>
      <c r="I131" s="191">
        <v>2.1968832269999989</v>
      </c>
      <c r="J131" s="191">
        <v>1.6110476997999994</v>
      </c>
      <c r="K131" s="191">
        <v>27.95857692149999</v>
      </c>
      <c r="L131" s="193">
        <v>14.911241024799995</v>
      </c>
      <c r="M131" s="192">
        <v>16.480845343199995</v>
      </c>
      <c r="N131" s="194"/>
      <c r="O131" s="194"/>
      <c r="P131" s="135"/>
    </row>
    <row r="132" spans="2:16" x14ac:dyDescent="0.2">
      <c r="B132" s="134"/>
      <c r="C132" s="49" t="s">
        <v>51</v>
      </c>
      <c r="D132" s="191">
        <v>1800.05</v>
      </c>
      <c r="E132" s="50" t="s">
        <v>28</v>
      </c>
      <c r="F132" s="191">
        <v>48.817999999999984</v>
      </c>
      <c r="G132" s="191">
        <v>65.397999999999982</v>
      </c>
      <c r="H132" s="191">
        <v>3.6028684768999981</v>
      </c>
      <c r="I132" s="191">
        <v>2.6362452269999985</v>
      </c>
      <c r="J132" s="191">
        <v>1.9332464997999992</v>
      </c>
      <c r="K132" s="191">
        <v>33.550105921499991</v>
      </c>
      <c r="L132" s="193">
        <v>17.893389824799996</v>
      </c>
      <c r="M132" s="192">
        <v>19.776904543199993</v>
      </c>
      <c r="N132" s="194"/>
      <c r="O132" s="194"/>
      <c r="P132" s="135"/>
    </row>
    <row r="133" spans="2:16" x14ac:dyDescent="0.2">
      <c r="B133" s="134"/>
      <c r="C133" s="49" t="s">
        <v>52</v>
      </c>
      <c r="D133" s="191">
        <v>2200.0500000000002</v>
      </c>
      <c r="E133" s="50" t="s">
        <v>28</v>
      </c>
      <c r="F133" s="191">
        <v>48.817999999999984</v>
      </c>
      <c r="G133" s="191">
        <v>65.397999999999982</v>
      </c>
      <c r="H133" s="191">
        <v>4.4034836768999988</v>
      </c>
      <c r="I133" s="191">
        <v>3.2220612269999993</v>
      </c>
      <c r="J133" s="191">
        <v>2.3628448997999998</v>
      </c>
      <c r="K133" s="191">
        <v>41.005477921499988</v>
      </c>
      <c r="L133" s="193">
        <v>21.869588224799994</v>
      </c>
      <c r="M133" s="192">
        <v>24.17165014319999</v>
      </c>
      <c r="N133" s="194"/>
      <c r="O133" s="194"/>
      <c r="P133" s="135"/>
    </row>
    <row r="134" spans="2:16" x14ac:dyDescent="0.2">
      <c r="B134" s="134"/>
      <c r="C134" s="49" t="s">
        <v>53</v>
      </c>
      <c r="D134" s="191">
        <v>2700.05</v>
      </c>
      <c r="E134" s="50" t="s">
        <v>28</v>
      </c>
      <c r="F134" s="191">
        <v>48.817999999999984</v>
      </c>
      <c r="G134" s="191">
        <v>65.397999999999982</v>
      </c>
      <c r="H134" s="191">
        <v>5.4042526768999988</v>
      </c>
      <c r="I134" s="191">
        <v>3.9543312269999986</v>
      </c>
      <c r="J134" s="191">
        <v>2.8998428997999994</v>
      </c>
      <c r="K134" s="191">
        <v>50.324692921499988</v>
      </c>
      <c r="L134" s="193">
        <v>26.839836224799992</v>
      </c>
      <c r="M134" s="192">
        <v>29.665082143199992</v>
      </c>
      <c r="N134" s="194"/>
      <c r="O134" s="194"/>
      <c r="P134" s="135"/>
    </row>
    <row r="135" spans="2:16" x14ac:dyDescent="0.2">
      <c r="B135" s="134"/>
      <c r="C135" s="49" t="s">
        <v>54</v>
      </c>
      <c r="D135" s="191">
        <v>3500.05</v>
      </c>
      <c r="E135" s="50" t="s">
        <v>28</v>
      </c>
      <c r="F135" s="191">
        <v>48.817999999999984</v>
      </c>
      <c r="G135" s="191">
        <v>65.397999999999982</v>
      </c>
      <c r="H135" s="191">
        <v>7.0054830768999983</v>
      </c>
      <c r="I135" s="191">
        <v>5.1259632269999988</v>
      </c>
      <c r="J135" s="191">
        <v>3.7590396997999993</v>
      </c>
      <c r="K135" s="191">
        <v>65.235436921499982</v>
      </c>
      <c r="L135" s="193">
        <v>34.792233024799991</v>
      </c>
      <c r="M135" s="192">
        <v>38.454573343199982</v>
      </c>
      <c r="N135" s="194"/>
      <c r="O135" s="194"/>
      <c r="P135" s="135"/>
    </row>
    <row r="136" spans="2:16" x14ac:dyDescent="0.2">
      <c r="B136" s="134"/>
      <c r="C136" s="49" t="s">
        <v>56</v>
      </c>
      <c r="D136" s="191">
        <v>4750.05</v>
      </c>
      <c r="E136" s="50" t="s">
        <v>28</v>
      </c>
      <c r="F136" s="191">
        <v>48.817999999999984</v>
      </c>
      <c r="G136" s="191">
        <v>65.397999999999982</v>
      </c>
      <c r="H136" s="191">
        <v>9.5074055768999965</v>
      </c>
      <c r="I136" s="191">
        <v>6.9566382269999973</v>
      </c>
      <c r="J136" s="191">
        <v>5.1015346997999984</v>
      </c>
      <c r="K136" s="191">
        <v>88.533474421499989</v>
      </c>
      <c r="L136" s="193">
        <v>47.217853024799986</v>
      </c>
      <c r="M136" s="192">
        <v>52.188153343199986</v>
      </c>
      <c r="N136" s="194"/>
      <c r="O136" s="194"/>
      <c r="P136" s="135"/>
    </row>
    <row r="137" spans="2:16" x14ac:dyDescent="0.2">
      <c r="B137" s="134"/>
      <c r="C137" s="27"/>
      <c r="D137" s="27"/>
      <c r="E137" s="27"/>
      <c r="F137" s="27"/>
      <c r="G137" s="27"/>
      <c r="H137" s="27"/>
      <c r="I137" s="28"/>
      <c r="J137" s="28"/>
      <c r="K137" s="27"/>
      <c r="L137" s="27"/>
      <c r="M137" s="27"/>
      <c r="N137" s="27"/>
      <c r="O137" s="27"/>
      <c r="P137" s="135"/>
    </row>
    <row r="138" spans="2:16" x14ac:dyDescent="0.2">
      <c r="B138" s="134"/>
      <c r="C138" s="27" t="s">
        <v>125</v>
      </c>
      <c r="D138" s="27"/>
      <c r="E138" s="27"/>
      <c r="F138" s="27"/>
      <c r="G138" s="27" t="s">
        <v>127</v>
      </c>
      <c r="H138" s="27"/>
      <c r="I138" s="27" t="s">
        <v>128</v>
      </c>
      <c r="J138" s="28"/>
      <c r="K138" s="27"/>
      <c r="L138" s="27"/>
      <c r="M138" s="27"/>
      <c r="N138" s="27"/>
      <c r="O138" s="27"/>
      <c r="P138" s="135"/>
    </row>
    <row r="139" spans="2:16" ht="15.75" thickBot="1" x14ac:dyDescent="0.25">
      <c r="B139" s="134"/>
      <c r="C139" s="35" t="s">
        <v>5</v>
      </c>
      <c r="D139" s="43" t="s">
        <v>6</v>
      </c>
      <c r="E139" s="27"/>
      <c r="F139" s="27"/>
      <c r="G139" s="38" t="s">
        <v>123</v>
      </c>
      <c r="H139" s="27"/>
      <c r="I139" s="38" t="s">
        <v>251</v>
      </c>
      <c r="J139" s="28"/>
      <c r="K139" s="27"/>
      <c r="L139" s="27"/>
      <c r="M139" s="27"/>
      <c r="N139" s="27"/>
      <c r="O139" s="27"/>
      <c r="P139" s="135"/>
    </row>
    <row r="140" spans="2:16" ht="15" thickTop="1" x14ac:dyDescent="0.2">
      <c r="B140" s="134"/>
      <c r="C140" s="36" t="s">
        <v>212</v>
      </c>
      <c r="D140" s="44" t="s">
        <v>212</v>
      </c>
      <c r="E140" s="27"/>
      <c r="F140" s="27"/>
      <c r="G140" s="39" t="s">
        <v>7</v>
      </c>
      <c r="H140" s="27"/>
      <c r="I140" s="39" t="s">
        <v>7</v>
      </c>
      <c r="J140" s="28"/>
      <c r="K140" s="27"/>
      <c r="L140" s="27"/>
      <c r="M140" s="27"/>
      <c r="N140" s="27"/>
      <c r="O140" s="27"/>
      <c r="P140" s="135"/>
    </row>
    <row r="141" spans="2:16" x14ac:dyDescent="0.2">
      <c r="B141" s="134"/>
      <c r="C141" s="27"/>
      <c r="D141" s="27"/>
      <c r="E141" s="27"/>
      <c r="F141" s="27"/>
      <c r="G141" s="40" t="s">
        <v>25</v>
      </c>
      <c r="H141" s="27"/>
      <c r="I141" s="40" t="s">
        <v>25</v>
      </c>
      <c r="J141" s="28"/>
      <c r="K141" s="27"/>
      <c r="L141" s="27"/>
      <c r="M141" s="27"/>
      <c r="N141" s="27"/>
      <c r="O141" s="27"/>
      <c r="P141" s="135"/>
    </row>
    <row r="142" spans="2:16" x14ac:dyDescent="0.2">
      <c r="B142" s="134"/>
      <c r="C142" s="27"/>
      <c r="D142" s="27"/>
      <c r="E142" s="27"/>
      <c r="F142" s="27"/>
      <c r="G142" s="40" t="s">
        <v>32</v>
      </c>
      <c r="H142" s="27"/>
      <c r="I142" s="40" t="s">
        <v>32</v>
      </c>
      <c r="J142" s="27"/>
      <c r="K142" s="27"/>
      <c r="L142" s="27"/>
      <c r="M142" s="27"/>
      <c r="N142" s="27"/>
      <c r="O142" s="27"/>
      <c r="P142" s="135"/>
    </row>
    <row r="143" spans="2:16" x14ac:dyDescent="0.2">
      <c r="B143" s="134"/>
      <c r="C143" s="27" t="s">
        <v>124</v>
      </c>
      <c r="D143" s="27"/>
      <c r="E143" s="27"/>
      <c r="F143" s="27"/>
      <c r="G143" s="40" t="s">
        <v>42</v>
      </c>
      <c r="H143" s="30"/>
      <c r="I143" s="185" t="s">
        <v>55</v>
      </c>
      <c r="J143" s="27"/>
      <c r="K143" s="27"/>
      <c r="L143" s="27"/>
      <c r="M143" s="27"/>
      <c r="N143" s="27"/>
      <c r="O143" s="27"/>
      <c r="P143" s="135"/>
    </row>
    <row r="144" spans="2:16" ht="15.75" thickBot="1" x14ac:dyDescent="0.25">
      <c r="B144" s="134"/>
      <c r="C144" s="34" t="s">
        <v>13</v>
      </c>
      <c r="D144" s="33" t="s">
        <v>14</v>
      </c>
      <c r="E144" s="45" t="s">
        <v>15</v>
      </c>
      <c r="F144" s="27"/>
      <c r="G144" s="40" t="s">
        <v>47</v>
      </c>
      <c r="H144" s="27"/>
      <c r="I144" s="40" t="s">
        <v>57</v>
      </c>
      <c r="J144" s="27"/>
      <c r="K144" s="27"/>
      <c r="L144" s="27"/>
      <c r="M144" s="27"/>
      <c r="N144" s="27"/>
      <c r="O144" s="27"/>
      <c r="P144" s="135"/>
    </row>
    <row r="145" spans="2:16" ht="15" thickTop="1" x14ac:dyDescent="0.2">
      <c r="B145" s="134"/>
      <c r="C145" s="46" t="s">
        <v>16</v>
      </c>
      <c r="D145" s="47" t="s">
        <v>9</v>
      </c>
      <c r="E145" s="44" t="s">
        <v>17</v>
      </c>
      <c r="F145" s="27"/>
      <c r="G145" s="40" t="s">
        <v>55</v>
      </c>
      <c r="H145" s="27"/>
      <c r="I145" s="40" t="s">
        <v>58</v>
      </c>
      <c r="J145" s="27"/>
      <c r="K145" s="27"/>
      <c r="L145" s="27"/>
      <c r="M145" s="27"/>
      <c r="N145" s="27"/>
      <c r="O145" s="27"/>
      <c r="P145" s="135"/>
    </row>
    <row r="146" spans="2:16" x14ac:dyDescent="0.2">
      <c r="B146" s="134"/>
      <c r="C146" s="46" t="s">
        <v>18</v>
      </c>
      <c r="D146" s="47" t="s">
        <v>10</v>
      </c>
      <c r="E146" s="44" t="s">
        <v>19</v>
      </c>
      <c r="F146" s="27"/>
      <c r="G146" s="40" t="s">
        <v>57</v>
      </c>
      <c r="H146" s="27"/>
      <c r="I146" s="40" t="s">
        <v>59</v>
      </c>
      <c r="J146" s="27"/>
      <c r="K146" s="27"/>
      <c r="L146" s="27"/>
      <c r="M146" s="27"/>
      <c r="N146" s="27"/>
      <c r="O146" s="27"/>
      <c r="P146" s="135"/>
    </row>
    <row r="147" spans="2:16" x14ac:dyDescent="0.2">
      <c r="B147" s="134"/>
      <c r="C147" s="46" t="s">
        <v>20</v>
      </c>
      <c r="D147" s="47" t="s">
        <v>11</v>
      </c>
      <c r="E147" s="44" t="s">
        <v>21</v>
      </c>
      <c r="F147" s="27"/>
      <c r="G147" s="40" t="s">
        <v>58</v>
      </c>
      <c r="H147" s="27"/>
      <c r="I147" s="40" t="s">
        <v>60</v>
      </c>
      <c r="J147" s="27"/>
      <c r="K147" s="27"/>
      <c r="L147" s="27"/>
      <c r="M147" s="27"/>
      <c r="N147" s="27"/>
      <c r="O147" s="27"/>
      <c r="P147" s="135"/>
    </row>
    <row r="148" spans="2:16" x14ac:dyDescent="0.2">
      <c r="B148" s="134"/>
      <c r="C148" s="36" t="s">
        <v>23</v>
      </c>
      <c r="D148" s="47" t="s">
        <v>10</v>
      </c>
      <c r="E148" s="44" t="s">
        <v>19</v>
      </c>
      <c r="F148" s="27"/>
      <c r="G148" s="40" t="s">
        <v>59</v>
      </c>
      <c r="H148" s="27"/>
      <c r="I148" s="40" t="s">
        <v>61</v>
      </c>
      <c r="J148" s="27"/>
      <c r="K148" s="27"/>
      <c r="L148" s="27"/>
      <c r="M148" s="27"/>
      <c r="N148" s="27"/>
      <c r="O148" s="27"/>
      <c r="P148" s="135"/>
    </row>
    <row r="149" spans="2:16" x14ac:dyDescent="0.2">
      <c r="B149" s="134"/>
      <c r="C149" s="36" t="s">
        <v>24</v>
      </c>
      <c r="D149" s="47" t="s">
        <v>10</v>
      </c>
      <c r="E149" s="44" t="s">
        <v>19</v>
      </c>
      <c r="F149" s="27"/>
      <c r="G149" s="41" t="s">
        <v>60</v>
      </c>
      <c r="H149" s="27"/>
      <c r="I149" s="40" t="s">
        <v>62</v>
      </c>
      <c r="J149" s="27"/>
      <c r="K149" s="27"/>
      <c r="L149" s="27"/>
      <c r="M149" s="27"/>
      <c r="N149" s="27"/>
      <c r="O149" s="27"/>
      <c r="P149" s="135"/>
    </row>
    <row r="150" spans="2:16" x14ac:dyDescent="0.2">
      <c r="B150" s="134"/>
      <c r="C150" s="46" t="s">
        <v>26</v>
      </c>
      <c r="D150" s="47" t="s">
        <v>10</v>
      </c>
      <c r="E150" s="40" t="s">
        <v>19</v>
      </c>
      <c r="F150" s="27"/>
      <c r="G150" s="41" t="s">
        <v>61</v>
      </c>
      <c r="H150" s="27"/>
      <c r="I150" s="40" t="s">
        <v>63</v>
      </c>
      <c r="J150" s="27"/>
      <c r="K150" s="27"/>
      <c r="L150" s="27"/>
      <c r="M150" s="27"/>
      <c r="N150" s="27"/>
      <c r="O150" s="27"/>
      <c r="P150" s="135"/>
    </row>
    <row r="151" spans="2:16" x14ac:dyDescent="0.2">
      <c r="B151" s="134"/>
      <c r="C151" s="27"/>
      <c r="D151" s="28"/>
      <c r="E151" s="27"/>
      <c r="F151" s="27"/>
      <c r="G151" s="41" t="s">
        <v>62</v>
      </c>
      <c r="H151" s="27"/>
      <c r="I151" s="41" t="s">
        <v>64</v>
      </c>
      <c r="J151" s="27"/>
      <c r="K151" s="27"/>
      <c r="L151" s="27"/>
      <c r="M151" s="27"/>
      <c r="N151" s="27"/>
      <c r="O151" s="27"/>
      <c r="P151" s="135"/>
    </row>
    <row r="152" spans="2:16" x14ac:dyDescent="0.2">
      <c r="B152" s="134"/>
      <c r="C152" s="27" t="s">
        <v>126</v>
      </c>
      <c r="D152" s="28"/>
      <c r="E152" s="27"/>
      <c r="F152" s="27"/>
      <c r="G152" s="41" t="s">
        <v>63</v>
      </c>
      <c r="H152" s="27"/>
      <c r="I152" s="40" t="s">
        <v>246</v>
      </c>
      <c r="J152" s="22"/>
      <c r="K152" s="27"/>
      <c r="L152" s="27"/>
      <c r="M152" s="27"/>
      <c r="N152" s="27"/>
      <c r="O152" s="27"/>
      <c r="P152" s="135"/>
    </row>
    <row r="153" spans="2:16" ht="15.75" thickBot="1" x14ac:dyDescent="0.25">
      <c r="B153" s="134"/>
      <c r="C153" s="195" t="s">
        <v>92</v>
      </c>
      <c r="D153" s="38" t="s">
        <v>6</v>
      </c>
      <c r="E153" s="27"/>
      <c r="F153" s="27"/>
      <c r="G153" s="40" t="s">
        <v>64</v>
      </c>
      <c r="H153" s="27"/>
      <c r="I153" s="40" t="s">
        <v>65</v>
      </c>
      <c r="J153" s="22"/>
      <c r="K153" s="27"/>
      <c r="L153" s="27"/>
      <c r="M153" s="27"/>
      <c r="N153" s="27"/>
      <c r="O153" s="27"/>
      <c r="P153" s="135"/>
    </row>
    <row r="154" spans="2:16" ht="15" thickTop="1" x14ac:dyDescent="0.2">
      <c r="B154" s="134"/>
      <c r="C154" s="36" t="s">
        <v>94</v>
      </c>
      <c r="D154" s="37" t="b">
        <v>1</v>
      </c>
      <c r="E154" s="27"/>
      <c r="F154" s="27"/>
      <c r="G154" s="40" t="s">
        <v>98</v>
      </c>
      <c r="H154" s="27"/>
      <c r="I154" s="40" t="s">
        <v>66</v>
      </c>
      <c r="J154" s="22"/>
      <c r="K154" s="27"/>
      <c r="L154" s="27"/>
      <c r="M154" s="27"/>
      <c r="N154" s="27"/>
      <c r="O154" s="27"/>
      <c r="P154" s="135"/>
    </row>
    <row r="155" spans="2:16" x14ac:dyDescent="0.2">
      <c r="B155" s="134"/>
      <c r="C155" s="36" t="s">
        <v>93</v>
      </c>
      <c r="D155" s="37" t="b">
        <v>0</v>
      </c>
      <c r="E155" s="27"/>
      <c r="F155" s="27"/>
      <c r="G155" s="40" t="s">
        <v>65</v>
      </c>
      <c r="H155" s="27"/>
      <c r="I155" s="27"/>
      <c r="J155" s="22"/>
      <c r="K155" s="27"/>
      <c r="L155" s="27"/>
      <c r="M155" s="27"/>
      <c r="N155" s="27"/>
      <c r="O155" s="27"/>
      <c r="P155" s="135"/>
    </row>
    <row r="156" spans="2:16" x14ac:dyDescent="0.2">
      <c r="B156" s="134"/>
      <c r="C156" s="27"/>
      <c r="D156" s="28"/>
      <c r="E156" s="28"/>
      <c r="F156" s="27"/>
      <c r="G156" s="42" t="s">
        <v>66</v>
      </c>
      <c r="H156" s="27"/>
      <c r="I156" s="29"/>
      <c r="J156" s="22"/>
      <c r="K156" s="29"/>
      <c r="L156" s="29"/>
      <c r="M156" s="29"/>
      <c r="N156" s="29"/>
      <c r="O156" s="29"/>
      <c r="P156" s="135"/>
    </row>
    <row r="157" spans="2:16" ht="15" thickBot="1" x14ac:dyDescent="0.25">
      <c r="B157" s="215"/>
      <c r="C157" s="182"/>
      <c r="D157" s="183"/>
      <c r="E157" s="183"/>
      <c r="F157" s="182"/>
      <c r="G157" s="184"/>
      <c r="H157" s="184"/>
      <c r="I157" s="184"/>
      <c r="J157" s="184"/>
      <c r="K157" s="184"/>
      <c r="L157" s="184"/>
      <c r="M157" s="184"/>
      <c r="N157" s="184"/>
      <c r="O157" s="184"/>
      <c r="P157" s="216"/>
    </row>
    <row r="158" spans="2:16" ht="15" thickTop="1" x14ac:dyDescent="0.2">
      <c r="F158" s="185"/>
    </row>
    <row r="159" spans="2:16" x14ac:dyDescent="0.2">
      <c r="F159" s="185"/>
      <c r="G159" s="185"/>
      <c r="H159" s="185"/>
      <c r="I159" s="37"/>
      <c r="J159" s="37"/>
    </row>
    <row r="160" spans="2:16" x14ac:dyDescent="0.2">
      <c r="F160" s="185"/>
      <c r="G160" s="185"/>
      <c r="H160" s="185"/>
      <c r="I160" s="37"/>
      <c r="J160" s="37"/>
    </row>
    <row r="161" spans="6:11" x14ac:dyDescent="0.2">
      <c r="F161" s="185"/>
      <c r="G161" s="185"/>
      <c r="H161" s="185"/>
      <c r="I161" s="37"/>
      <c r="J161" s="37"/>
    </row>
    <row r="162" spans="6:11" x14ac:dyDescent="0.2">
      <c r="F162" s="185"/>
      <c r="G162" s="185"/>
      <c r="H162" s="185"/>
      <c r="I162" s="37"/>
      <c r="J162" s="37"/>
    </row>
    <row r="163" spans="6:11" x14ac:dyDescent="0.2">
      <c r="F163" s="185"/>
      <c r="G163" s="185"/>
      <c r="H163" s="185"/>
      <c r="I163" s="37"/>
      <c r="J163" s="37"/>
    </row>
    <row r="164" spans="6:11" x14ac:dyDescent="0.2">
      <c r="F164" s="185"/>
      <c r="G164" s="185"/>
      <c r="H164" s="185"/>
      <c r="I164" s="37"/>
      <c r="J164" s="37"/>
    </row>
    <row r="165" spans="6:11" x14ac:dyDescent="0.2">
      <c r="F165" s="185"/>
      <c r="G165" s="185"/>
      <c r="H165" s="185"/>
      <c r="I165" s="37"/>
      <c r="J165" s="37"/>
    </row>
    <row r="166" spans="6:11" x14ac:dyDescent="0.2">
      <c r="F166" s="185"/>
      <c r="G166" s="185"/>
      <c r="H166" s="185"/>
      <c r="I166" s="37"/>
      <c r="J166" s="37"/>
      <c r="K166" s="42"/>
    </row>
    <row r="167" spans="6:11" x14ac:dyDescent="0.2">
      <c r="F167" s="185"/>
      <c r="G167" s="185"/>
      <c r="H167" s="185"/>
      <c r="I167" s="37"/>
      <c r="J167" s="37"/>
      <c r="K167" s="42"/>
    </row>
    <row r="168" spans="6:11" x14ac:dyDescent="0.2">
      <c r="F168" s="185"/>
      <c r="G168" s="185"/>
      <c r="H168" s="185"/>
      <c r="I168" s="37"/>
      <c r="J168" s="37"/>
      <c r="K168" s="42"/>
    </row>
    <row r="169" spans="6:11" x14ac:dyDescent="0.2">
      <c r="F169" s="185"/>
      <c r="G169" s="185"/>
      <c r="H169" s="185"/>
      <c r="I169" s="37"/>
      <c r="J169" s="37"/>
      <c r="K169" s="42"/>
    </row>
    <row r="170" spans="6:11" x14ac:dyDescent="0.2">
      <c r="F170" s="185"/>
      <c r="G170" s="185"/>
      <c r="H170" s="185"/>
      <c r="I170" s="37"/>
      <c r="J170" s="37"/>
      <c r="K170" s="42"/>
    </row>
    <row r="171" spans="6:11" x14ac:dyDescent="0.2">
      <c r="F171" s="185"/>
      <c r="G171" s="185"/>
      <c r="H171" s="185"/>
      <c r="I171" s="37"/>
      <c r="J171" s="37"/>
      <c r="K171" s="42"/>
    </row>
    <row r="172" spans="6:11" x14ac:dyDescent="0.2">
      <c r="F172" s="185"/>
      <c r="G172" s="185"/>
      <c r="H172" s="185"/>
      <c r="I172" s="37"/>
      <c r="J172" s="37"/>
      <c r="K172" s="42"/>
    </row>
    <row r="173" spans="6:11" x14ac:dyDescent="0.2">
      <c r="F173" s="185"/>
      <c r="G173" s="185"/>
      <c r="H173" s="185"/>
      <c r="I173" s="37"/>
      <c r="J173" s="37"/>
      <c r="K173" s="42"/>
    </row>
    <row r="174" spans="6:11" x14ac:dyDescent="0.2">
      <c r="F174" s="185"/>
      <c r="G174" s="185"/>
      <c r="H174" s="185"/>
      <c r="I174" s="37"/>
      <c r="J174" s="37"/>
    </row>
    <row r="175" spans="6:11" x14ac:dyDescent="0.2">
      <c r="F175" s="185"/>
      <c r="G175" s="185"/>
      <c r="H175" s="185"/>
      <c r="I175" s="37"/>
      <c r="J175" s="37"/>
    </row>
    <row r="176" spans="6:11" x14ac:dyDescent="0.2">
      <c r="I176" s="42"/>
    </row>
    <row r="177" spans="9:9" x14ac:dyDescent="0.2">
      <c r="I177" s="42"/>
    </row>
    <row r="178" spans="9:9" x14ac:dyDescent="0.2">
      <c r="I178" s="42"/>
    </row>
    <row r="179" spans="9:9" x14ac:dyDescent="0.2">
      <c r="I179" s="42"/>
    </row>
    <row r="180" spans="9:9" x14ac:dyDescent="0.2">
      <c r="I180" s="42"/>
    </row>
    <row r="181" spans="9:9" x14ac:dyDescent="0.2">
      <c r="I181" s="42"/>
    </row>
    <row r="182" spans="9:9" x14ac:dyDescent="0.2">
      <c r="I182" s="42"/>
    </row>
    <row r="183" spans="9:9" x14ac:dyDescent="0.2">
      <c r="I183" s="42"/>
    </row>
    <row r="184" spans="9:9" x14ac:dyDescent="0.2">
      <c r="I184" s="42"/>
    </row>
    <row r="185" spans="9:9" x14ac:dyDescent="0.2">
      <c r="I185" s="42"/>
    </row>
    <row r="186" spans="9:9" x14ac:dyDescent="0.2">
      <c r="I186" s="42"/>
    </row>
    <row r="187" spans="9:9" x14ac:dyDescent="0.2">
      <c r="I187" s="42"/>
    </row>
    <row r="188" spans="9:9" x14ac:dyDescent="0.2">
      <c r="I188" s="42"/>
    </row>
    <row r="189" spans="9:9" x14ac:dyDescent="0.2">
      <c r="I189" s="42"/>
    </row>
    <row r="190" spans="9:9" x14ac:dyDescent="0.2">
      <c r="I190" s="42"/>
    </row>
    <row r="191" spans="9:9" x14ac:dyDescent="0.2">
      <c r="I191" s="42"/>
    </row>
    <row r="192" spans="9:9" x14ac:dyDescent="0.2">
      <c r="I192" s="42"/>
    </row>
    <row r="193" spans="9:9" x14ac:dyDescent="0.2">
      <c r="I193" s="42"/>
    </row>
    <row r="194" spans="9:9" x14ac:dyDescent="0.2">
      <c r="I194" s="42"/>
    </row>
    <row r="195" spans="9:9" x14ac:dyDescent="0.2">
      <c r="I195" s="42"/>
    </row>
    <row r="196" spans="9:9" x14ac:dyDescent="0.2">
      <c r="I196" s="42"/>
    </row>
    <row r="197" spans="9:9" x14ac:dyDescent="0.2">
      <c r="I197" s="42"/>
    </row>
    <row r="198" spans="9:9" x14ac:dyDescent="0.2">
      <c r="I198" s="42"/>
    </row>
    <row r="199" spans="9:9" x14ac:dyDescent="0.2">
      <c r="I199" s="42"/>
    </row>
    <row r="200" spans="9:9" x14ac:dyDescent="0.2">
      <c r="I200" s="42"/>
    </row>
    <row r="201" spans="9:9" x14ac:dyDescent="0.2">
      <c r="I201" s="42"/>
    </row>
    <row r="202" spans="9:9" x14ac:dyDescent="0.2">
      <c r="I202" s="42"/>
    </row>
    <row r="203" spans="9:9" x14ac:dyDescent="0.2">
      <c r="I203" s="42"/>
    </row>
    <row r="204" spans="9:9" x14ac:dyDescent="0.2">
      <c r="I204" s="42"/>
    </row>
  </sheetData>
  <sheetProtection algorithmName="SHA-512" hashValue="cBkqRfjYvAlXp/8dgUyyqQHHABq/JjqMJtrno+G5PR8rNgxVFnGcR7MzOxJNY61uvqIcW3zuilHvhryDfzoS+Q==" saltValue="PbU3CURPX++F2jwzUQeDZQ==" spinCount="100000" sheet="1" objects="1" scenarios="1"/>
  <mergeCells count="1">
    <mergeCell ref="B2:P4"/>
  </mergeCells>
  <phoneticPr fontId="30" type="noConversion"/>
  <dataValidations count="1">
    <dataValidation allowBlank="1" showInputMessage="1" showErrorMessage="1" prompt="This value is dependent on the rainfall volume." sqref="I108:J110 I104:J104" xr:uid="{5683ECF9-B236-43B7-B2FD-F42CED51FC31}"/>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546A1-C6EE-4AA8-8A3A-C1EBF31A9FD9}">
  <dimension ref="A5:K33"/>
  <sheetViews>
    <sheetView topLeftCell="A10" workbookViewId="0">
      <selection activeCell="C16" sqref="C16"/>
    </sheetView>
  </sheetViews>
  <sheetFormatPr defaultColWidth="9.140625" defaultRowHeight="15" x14ac:dyDescent="0.25"/>
  <cols>
    <col min="1" max="1" width="9.140625" style="1"/>
    <col min="2" max="2" width="27.85546875" style="1" customWidth="1"/>
    <col min="3" max="3" width="26.85546875" style="1" customWidth="1"/>
    <col min="4" max="4" width="9.140625" style="1"/>
    <col min="5" max="5" width="15" style="1" customWidth="1"/>
    <col min="6" max="6" width="12.5703125" style="1" customWidth="1"/>
    <col min="7" max="9" width="9.140625" style="1"/>
    <col min="10" max="10" width="7.140625" style="1" customWidth="1"/>
    <col min="11" max="16384" width="9.140625" style="1"/>
  </cols>
  <sheetData>
    <row r="5" spans="1:11" x14ac:dyDescent="0.25">
      <c r="B5" s="4"/>
      <c r="C5" s="4"/>
      <c r="D5" s="4"/>
      <c r="E5" s="4"/>
      <c r="F5" s="4"/>
      <c r="G5" s="4"/>
      <c r="H5" s="4"/>
      <c r="I5" s="4"/>
      <c r="J5" s="4"/>
      <c r="K5" s="4"/>
    </row>
    <row r="6" spans="1:11" ht="17.25" x14ac:dyDescent="0.25">
      <c r="A6" s="4"/>
      <c r="K6" s="7"/>
    </row>
    <row r="7" spans="1:11" ht="18" customHeight="1" x14ac:dyDescent="0.35">
      <c r="A7" s="4"/>
      <c r="F7" s="5"/>
      <c r="G7" s="6"/>
      <c r="H7" s="6"/>
      <c r="I7" s="5"/>
      <c r="K7" s="8"/>
    </row>
    <row r="8" spans="1:11" ht="12" customHeight="1" x14ac:dyDescent="0.35">
      <c r="A8" s="4"/>
      <c r="F8" s="3"/>
      <c r="G8" s="3"/>
      <c r="H8" s="3"/>
      <c r="I8" s="10"/>
      <c r="K8" s="8"/>
    </row>
    <row r="9" spans="1:11" ht="18" thickBot="1" x14ac:dyDescent="0.4">
      <c r="A9" s="4"/>
      <c r="B9" s="15" t="s">
        <v>91</v>
      </c>
      <c r="D9" s="22"/>
      <c r="E9" s="291" t="s">
        <v>130</v>
      </c>
      <c r="G9" s="3"/>
      <c r="H9" s="3"/>
      <c r="I9" s="10"/>
      <c r="K9" s="8"/>
    </row>
    <row r="10" spans="1:11" ht="21" customHeight="1" thickTop="1" thickBot="1" x14ac:dyDescent="0.4">
      <c r="A10" s="4"/>
      <c r="B10" s="16" t="s">
        <v>90</v>
      </c>
      <c r="D10" s="24"/>
      <c r="E10" s="291"/>
      <c r="G10" s="3"/>
      <c r="H10" s="3" t="s">
        <v>131</v>
      </c>
      <c r="I10" s="10"/>
      <c r="J10" s="7"/>
      <c r="K10" s="9"/>
    </row>
    <row r="11" spans="1:11" ht="18.75" thickTop="1" thickBot="1" x14ac:dyDescent="0.3">
      <c r="A11" s="4"/>
      <c r="B11" s="17" t="s">
        <v>89</v>
      </c>
      <c r="D11" s="25"/>
      <c r="E11" s="291"/>
      <c r="G11" s="8"/>
      <c r="H11" s="8" t="e">
        <f>IF(C33&lt;0,"Well done, you're in the clear…,""")</f>
        <v>#VALUE!</v>
      </c>
      <c r="I11" s="8"/>
      <c r="J11" s="8"/>
      <c r="K11" s="9"/>
    </row>
    <row r="12" spans="1:11" ht="29.25" customHeight="1" thickTop="1" x14ac:dyDescent="0.25">
      <c r="B12" s="18" t="s">
        <v>88</v>
      </c>
      <c r="D12" s="26"/>
      <c r="E12" s="291"/>
      <c r="G12" s="9"/>
      <c r="H12" s="9" t="s">
        <v>132</v>
      </c>
      <c r="I12" s="9"/>
      <c r="J12" s="9"/>
    </row>
    <row r="13" spans="1:11" ht="11.25" customHeight="1" x14ac:dyDescent="0.25">
      <c r="B13" s="22"/>
      <c r="C13" s="22"/>
      <c r="D13" s="22"/>
      <c r="E13" s="22"/>
      <c r="F13" s="54"/>
    </row>
    <row r="14" spans="1:11" x14ac:dyDescent="0.25">
      <c r="B14" s="22"/>
      <c r="C14" s="22"/>
      <c r="D14" s="22"/>
      <c r="E14" s="22"/>
      <c r="F14" s="54"/>
    </row>
    <row r="15" spans="1:11" ht="15.75" thickBot="1" x14ac:dyDescent="0.3">
      <c r="B15" s="15" t="s">
        <v>84</v>
      </c>
      <c r="C15" s="51" t="str">
        <f>'Stage 1'!D34</f>
        <v/>
      </c>
      <c r="D15" s="22"/>
      <c r="E15" s="291" t="s">
        <v>129</v>
      </c>
    </row>
    <row r="16" spans="1:11" ht="16.5" thickTop="1" thickBot="1" x14ac:dyDescent="0.3">
      <c r="B16" s="16" t="s">
        <v>85</v>
      </c>
      <c r="C16" s="23">
        <f>'Stage 3'!F27-'Stage 2'!F32</f>
        <v>0</v>
      </c>
      <c r="D16" s="22"/>
      <c r="E16" s="291"/>
    </row>
    <row r="17" spans="2:7" ht="16.5" thickTop="1" thickBot="1" x14ac:dyDescent="0.3">
      <c r="B17" s="17" t="s">
        <v>86</v>
      </c>
      <c r="C17" s="52" t="e">
        <f>C15+C16</f>
        <v>#VALUE!</v>
      </c>
      <c r="D17" s="19"/>
      <c r="E17" s="291"/>
      <c r="G17" s="4"/>
    </row>
    <row r="18" spans="2:7" ht="15.75" thickTop="1" x14ac:dyDescent="0.25">
      <c r="B18" s="18" t="s">
        <v>87</v>
      </c>
      <c r="C18" s="53" t="e">
        <f>C17*1.2</f>
        <v>#VALUE!</v>
      </c>
      <c r="D18" s="19"/>
      <c r="E18" s="291"/>
      <c r="G18" s="4"/>
    </row>
    <row r="19" spans="2:7" ht="17.25" x14ac:dyDescent="0.25">
      <c r="B19" s="10"/>
      <c r="C19" s="12"/>
      <c r="D19" s="13"/>
      <c r="G19" s="4"/>
    </row>
    <row r="20" spans="2:7" ht="17.25" x14ac:dyDescent="0.25">
      <c r="B20" s="10"/>
      <c r="C20" s="12"/>
      <c r="D20" s="13"/>
      <c r="G20" s="4"/>
    </row>
    <row r="21" spans="2:7" ht="17.25" x14ac:dyDescent="0.25">
      <c r="B21" s="10"/>
      <c r="C21" s="13"/>
      <c r="D21" s="13"/>
      <c r="G21" s="4"/>
    </row>
    <row r="22" spans="2:7" ht="17.25" x14ac:dyDescent="0.25">
      <c r="B22" s="11"/>
      <c r="C22" s="14"/>
      <c r="D22" s="14"/>
      <c r="G22" s="4"/>
    </row>
    <row r="23" spans="2:7" x14ac:dyDescent="0.25">
      <c r="G23" s="4"/>
    </row>
    <row r="24" spans="2:7" ht="15.75" thickBot="1" x14ac:dyDescent="0.3">
      <c r="C24" s="51" t="str">
        <f>'Stage 1'!D29</f>
        <v/>
      </c>
      <c r="F24" s="284" t="e">
        <f>C33</f>
        <v>#VALUE!</v>
      </c>
    </row>
    <row r="25" spans="2:7" ht="15.75" thickTop="1" x14ac:dyDescent="0.25">
      <c r="F25" s="284"/>
    </row>
    <row r="26" spans="2:7" x14ac:dyDescent="0.25">
      <c r="F26" s="284"/>
    </row>
    <row r="27" spans="2:7" ht="15.75" thickBot="1" x14ac:dyDescent="0.3">
      <c r="C27" s="23">
        <f>'Stage 3'!E27-'Stage 2'!E32</f>
        <v>0</v>
      </c>
      <c r="F27" s="284"/>
    </row>
    <row r="28" spans="2:7" ht="15.75" thickTop="1" x14ac:dyDescent="0.25"/>
    <row r="29" spans="2:7" ht="15.75" thickBot="1" x14ac:dyDescent="0.3">
      <c r="F29" s="292" t="e">
        <f>C18</f>
        <v>#VALUE!</v>
      </c>
    </row>
    <row r="30" spans="2:7" ht="16.5" thickTop="1" thickBot="1" x14ac:dyDescent="0.3">
      <c r="C30" s="52" t="e">
        <f>C24+C27</f>
        <v>#VALUE!</v>
      </c>
      <c r="F30" s="292"/>
    </row>
    <row r="31" spans="2:7" ht="15.75" thickTop="1" x14ac:dyDescent="0.25">
      <c r="F31" s="292"/>
    </row>
    <row r="32" spans="2:7" ht="15.75" thickBot="1" x14ac:dyDescent="0.3">
      <c r="F32" s="292"/>
    </row>
    <row r="33" spans="3:3" ht="15.75" thickTop="1" x14ac:dyDescent="0.25">
      <c r="C33" s="53" t="e">
        <f>C30*1.2</f>
        <v>#VALUE!</v>
      </c>
    </row>
  </sheetData>
  <mergeCells count="4">
    <mergeCell ref="E9:E12"/>
    <mergeCell ref="F24:F27"/>
    <mergeCell ref="E15:E18"/>
    <mergeCell ref="F29:F32"/>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07F3CA5-F800-43D1-83B8-FCADDD9BAC80}">
          <x14:formula1>
            <xm:f>'C:\Users\DS56\OneDrive - Ricardo Plc\NE NN\[Copy of Herefordshire Council Phosphate Budget Calculator_Final.xlsx]Stage 2 and 3 lookups'!#REF!</xm:f>
          </x14:formula1>
          <xm:sqref>I8:I10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81293-8206-4B93-90DD-0173B46E1F72}">
  <dimension ref="B2:N121"/>
  <sheetViews>
    <sheetView showRowColHeaders="0" topLeftCell="A13" zoomScaleNormal="100" workbookViewId="0">
      <selection activeCell="B36" sqref="B36:M36"/>
    </sheetView>
  </sheetViews>
  <sheetFormatPr defaultColWidth="9.140625" defaultRowHeight="15" x14ac:dyDescent="0.25"/>
  <cols>
    <col min="1" max="13" width="9.140625" style="139"/>
    <col min="14" max="14" width="1.7109375" style="139" customWidth="1"/>
    <col min="15" max="16384" width="9.140625" style="139"/>
  </cols>
  <sheetData>
    <row r="2" spans="2:14" ht="15.75" thickBot="1" x14ac:dyDescent="0.3"/>
    <row r="3" spans="2:14" ht="15.75" customHeight="1" thickTop="1" x14ac:dyDescent="0.25">
      <c r="B3" s="232" t="s">
        <v>190</v>
      </c>
      <c r="C3" s="233"/>
      <c r="D3" s="233"/>
      <c r="E3" s="233"/>
      <c r="F3" s="233"/>
      <c r="G3" s="233"/>
      <c r="H3" s="233"/>
      <c r="I3" s="233"/>
      <c r="J3" s="233"/>
      <c r="K3" s="233"/>
      <c r="L3" s="233"/>
      <c r="M3" s="233"/>
      <c r="N3" s="234"/>
    </row>
    <row r="4" spans="2:14" ht="15" customHeight="1" x14ac:dyDescent="0.25">
      <c r="B4" s="235"/>
      <c r="C4" s="236"/>
      <c r="D4" s="236"/>
      <c r="E4" s="236"/>
      <c r="F4" s="236"/>
      <c r="G4" s="236"/>
      <c r="H4" s="236"/>
      <c r="I4" s="236"/>
      <c r="J4" s="236"/>
      <c r="K4" s="236"/>
      <c r="L4" s="236"/>
      <c r="M4" s="236"/>
      <c r="N4" s="237"/>
    </row>
    <row r="5" spans="2:14" ht="15" customHeight="1" x14ac:dyDescent="0.25">
      <c r="B5" s="235"/>
      <c r="C5" s="236"/>
      <c r="D5" s="236"/>
      <c r="E5" s="236"/>
      <c r="F5" s="236"/>
      <c r="G5" s="236"/>
      <c r="H5" s="236"/>
      <c r="I5" s="236"/>
      <c r="J5" s="236"/>
      <c r="K5" s="236"/>
      <c r="L5" s="236"/>
      <c r="M5" s="236"/>
      <c r="N5" s="237"/>
    </row>
    <row r="6" spans="2:14" ht="8.25" customHeight="1" x14ac:dyDescent="0.25">
      <c r="B6" s="133"/>
      <c r="C6" s="1"/>
      <c r="D6" s="1"/>
      <c r="E6" s="1"/>
      <c r="F6" s="1"/>
      <c r="G6" s="1"/>
      <c r="H6" s="1"/>
      <c r="I6" s="1"/>
      <c r="J6" s="1"/>
      <c r="K6" s="1"/>
      <c r="L6" s="1"/>
      <c r="M6" s="1"/>
      <c r="N6" s="121"/>
    </row>
    <row r="7" spans="2:14" ht="56.25" customHeight="1" x14ac:dyDescent="0.25">
      <c r="B7" s="238" t="s">
        <v>279</v>
      </c>
      <c r="C7" s="239"/>
      <c r="D7" s="239"/>
      <c r="E7" s="239"/>
      <c r="F7" s="239"/>
      <c r="G7" s="239"/>
      <c r="H7" s="239"/>
      <c r="I7" s="239"/>
      <c r="J7" s="239"/>
      <c r="K7" s="239"/>
      <c r="L7" s="239"/>
      <c r="M7" s="239"/>
      <c r="N7" s="121"/>
    </row>
    <row r="8" spans="2:14" ht="59.25" customHeight="1" x14ac:dyDescent="0.25">
      <c r="B8" s="240" t="s">
        <v>280</v>
      </c>
      <c r="C8" s="241"/>
      <c r="D8" s="241"/>
      <c r="E8" s="241"/>
      <c r="F8" s="241"/>
      <c r="G8" s="241"/>
      <c r="H8" s="241"/>
      <c r="I8" s="241"/>
      <c r="J8" s="241"/>
      <c r="K8" s="241"/>
      <c r="L8" s="241"/>
      <c r="M8" s="241"/>
      <c r="N8" s="121"/>
    </row>
    <row r="9" spans="2:14" x14ac:dyDescent="0.25">
      <c r="B9" s="134"/>
      <c r="C9" s="22"/>
      <c r="D9" s="22"/>
      <c r="E9" s="22"/>
      <c r="F9" s="22"/>
      <c r="G9" s="22"/>
      <c r="H9" s="22"/>
      <c r="I9" s="22"/>
      <c r="J9" s="22"/>
      <c r="K9" s="22"/>
      <c r="L9" s="22"/>
      <c r="M9" s="22"/>
      <c r="N9" s="121"/>
    </row>
    <row r="10" spans="2:14" x14ac:dyDescent="0.25">
      <c r="B10" s="134"/>
      <c r="C10" s="22"/>
      <c r="D10" s="22"/>
      <c r="E10" s="22"/>
      <c r="F10" s="22"/>
      <c r="G10" s="22"/>
      <c r="H10" s="22"/>
      <c r="I10" s="22"/>
      <c r="J10" s="22"/>
      <c r="K10" s="22"/>
      <c r="L10" s="22"/>
      <c r="M10" s="22"/>
      <c r="N10" s="121"/>
    </row>
    <row r="11" spans="2:14" x14ac:dyDescent="0.25">
      <c r="B11" s="134"/>
      <c r="C11" s="22"/>
      <c r="D11" s="22"/>
      <c r="E11" s="22"/>
      <c r="F11" s="22"/>
      <c r="G11" s="22"/>
      <c r="H11" s="22"/>
      <c r="I11" s="22"/>
      <c r="J11" s="22"/>
      <c r="K11" s="22"/>
      <c r="L11" s="22"/>
      <c r="M11" s="22"/>
      <c r="N11" s="121"/>
    </row>
    <row r="12" spans="2:14" x14ac:dyDescent="0.25">
      <c r="B12" s="134"/>
      <c r="C12" s="22"/>
      <c r="D12" s="22"/>
      <c r="E12" s="22"/>
      <c r="F12" s="22"/>
      <c r="G12" s="22"/>
      <c r="H12" s="22"/>
      <c r="I12" s="22"/>
      <c r="J12" s="22"/>
      <c r="K12" s="22"/>
      <c r="L12" s="22"/>
      <c r="M12" s="22"/>
      <c r="N12" s="121"/>
    </row>
    <row r="13" spans="2:14" x14ac:dyDescent="0.25">
      <c r="B13" s="134"/>
      <c r="C13" s="22"/>
      <c r="D13" s="22"/>
      <c r="E13" s="22"/>
      <c r="F13" s="22"/>
      <c r="G13" s="22"/>
      <c r="H13" s="22"/>
      <c r="I13" s="22"/>
      <c r="J13" s="22"/>
      <c r="K13" s="22"/>
      <c r="L13" s="22"/>
      <c r="M13" s="22"/>
      <c r="N13" s="121"/>
    </row>
    <row r="14" spans="2:14" x14ac:dyDescent="0.25">
      <c r="B14" s="134"/>
      <c r="C14" s="22"/>
      <c r="D14" s="22"/>
      <c r="E14" s="22"/>
      <c r="F14" s="22"/>
      <c r="G14" s="22"/>
      <c r="H14" s="22"/>
      <c r="I14" s="22"/>
      <c r="J14" s="22"/>
      <c r="K14" s="22"/>
      <c r="L14" s="22"/>
      <c r="M14" s="22"/>
      <c r="N14" s="121"/>
    </row>
    <row r="15" spans="2:14" x14ac:dyDescent="0.25">
      <c r="B15" s="134"/>
      <c r="C15" s="22"/>
      <c r="D15" s="22"/>
      <c r="E15" s="22"/>
      <c r="F15" s="22"/>
      <c r="G15" s="22"/>
      <c r="H15" s="22"/>
      <c r="I15" s="22"/>
      <c r="J15" s="22"/>
      <c r="K15" s="22"/>
      <c r="L15" s="22"/>
      <c r="M15" s="22"/>
      <c r="N15" s="121"/>
    </row>
    <row r="16" spans="2:14" x14ac:dyDescent="0.25">
      <c r="B16" s="134"/>
      <c r="C16" s="22"/>
      <c r="D16" s="22"/>
      <c r="E16" s="22"/>
      <c r="F16" s="22"/>
      <c r="G16" s="22"/>
      <c r="H16" s="22"/>
      <c r="I16" s="22"/>
      <c r="J16" s="22"/>
      <c r="K16" s="22"/>
      <c r="L16" s="22"/>
      <c r="M16" s="22"/>
      <c r="N16" s="121"/>
    </row>
    <row r="17" spans="2:14" x14ac:dyDescent="0.25">
      <c r="B17" s="134"/>
      <c r="C17" s="22"/>
      <c r="D17" s="22"/>
      <c r="E17" s="22"/>
      <c r="F17" s="22"/>
      <c r="G17" s="22"/>
      <c r="H17" s="22"/>
      <c r="I17" s="22"/>
      <c r="J17" s="22"/>
      <c r="K17" s="22"/>
      <c r="L17" s="22"/>
      <c r="M17" s="22"/>
      <c r="N17" s="121"/>
    </row>
    <row r="18" spans="2:14" x14ac:dyDescent="0.25">
      <c r="B18" s="134"/>
      <c r="C18" s="22"/>
      <c r="D18" s="22"/>
      <c r="E18" s="22"/>
      <c r="F18" s="22"/>
      <c r="G18" s="22"/>
      <c r="H18" s="22"/>
      <c r="I18" s="22"/>
      <c r="J18" s="22"/>
      <c r="K18" s="22"/>
      <c r="L18" s="22"/>
      <c r="M18" s="22"/>
      <c r="N18" s="121"/>
    </row>
    <row r="19" spans="2:14" x14ac:dyDescent="0.25">
      <c r="B19" s="134"/>
      <c r="C19" s="22"/>
      <c r="D19" s="22"/>
      <c r="E19" s="22"/>
      <c r="F19" s="22"/>
      <c r="G19" s="22"/>
      <c r="H19" s="22"/>
      <c r="I19" s="22"/>
      <c r="J19" s="22"/>
      <c r="K19" s="22"/>
      <c r="L19" s="22"/>
      <c r="M19" s="22"/>
      <c r="N19" s="121"/>
    </row>
    <row r="20" spans="2:14" x14ac:dyDescent="0.25">
      <c r="B20" s="134"/>
      <c r="C20" s="22"/>
      <c r="D20" s="22"/>
      <c r="E20" s="22"/>
      <c r="F20" s="22"/>
      <c r="G20" s="22"/>
      <c r="H20" s="22"/>
      <c r="I20" s="22"/>
      <c r="J20" s="22"/>
      <c r="K20" s="22"/>
      <c r="L20" s="22"/>
      <c r="M20" s="22"/>
      <c r="N20" s="121"/>
    </row>
    <row r="21" spans="2:14" x14ac:dyDescent="0.25">
      <c r="B21" s="134"/>
      <c r="C21" s="22"/>
      <c r="D21" s="22"/>
      <c r="E21" s="22"/>
      <c r="F21" s="22"/>
      <c r="G21" s="22"/>
      <c r="H21" s="22"/>
      <c r="I21" s="22"/>
      <c r="J21" s="22"/>
      <c r="K21" s="22"/>
      <c r="L21" s="22"/>
      <c r="M21" s="22"/>
      <c r="N21" s="121"/>
    </row>
    <row r="22" spans="2:14" x14ac:dyDescent="0.25">
      <c r="B22" s="134"/>
      <c r="C22" s="22"/>
      <c r="D22" s="22"/>
      <c r="E22" s="22"/>
      <c r="F22" s="22"/>
      <c r="G22" s="22"/>
      <c r="H22" s="22"/>
      <c r="I22" s="22"/>
      <c r="J22" s="22"/>
      <c r="K22" s="22"/>
      <c r="L22" s="22"/>
      <c r="M22" s="22"/>
      <c r="N22" s="121"/>
    </row>
    <row r="23" spans="2:14" x14ac:dyDescent="0.25">
      <c r="B23" s="134"/>
      <c r="C23" s="22"/>
      <c r="D23" s="22"/>
      <c r="E23" s="22"/>
      <c r="F23" s="22"/>
      <c r="G23" s="22"/>
      <c r="H23" s="22"/>
      <c r="I23" s="22"/>
      <c r="J23" s="22"/>
      <c r="K23" s="22"/>
      <c r="L23" s="22"/>
      <c r="M23" s="22"/>
      <c r="N23" s="121"/>
    </row>
    <row r="24" spans="2:14" x14ac:dyDescent="0.25">
      <c r="B24" s="134"/>
      <c r="C24" s="22"/>
      <c r="D24" s="22"/>
      <c r="E24" s="22"/>
      <c r="F24" s="22"/>
      <c r="G24" s="22"/>
      <c r="H24" s="22"/>
      <c r="I24" s="22"/>
      <c r="J24" s="22"/>
      <c r="K24" s="22"/>
      <c r="L24" s="22"/>
      <c r="M24" s="22"/>
      <c r="N24" s="121"/>
    </row>
    <row r="25" spans="2:14" x14ac:dyDescent="0.25">
      <c r="B25" s="134"/>
      <c r="C25" s="22"/>
      <c r="D25" s="22"/>
      <c r="E25" s="22"/>
      <c r="F25" s="22"/>
      <c r="G25" s="22"/>
      <c r="H25" s="22"/>
      <c r="I25" s="22"/>
      <c r="J25" s="22"/>
      <c r="K25" s="22"/>
      <c r="L25" s="22"/>
      <c r="M25" s="22"/>
      <c r="N25" s="121"/>
    </row>
    <row r="26" spans="2:14" x14ac:dyDescent="0.25">
      <c r="B26" s="134"/>
      <c r="C26" s="22"/>
      <c r="D26" s="22"/>
      <c r="E26" s="22"/>
      <c r="F26" s="22"/>
      <c r="G26" s="22"/>
      <c r="H26" s="22"/>
      <c r="I26" s="22"/>
      <c r="J26" s="22"/>
      <c r="K26" s="22"/>
      <c r="L26" s="22"/>
      <c r="M26" s="22"/>
      <c r="N26" s="121"/>
    </row>
    <row r="27" spans="2:14" x14ac:dyDescent="0.25">
      <c r="B27" s="134"/>
      <c r="C27" s="22"/>
      <c r="D27" s="22"/>
      <c r="E27" s="22"/>
      <c r="F27" s="22"/>
      <c r="G27" s="22"/>
      <c r="H27" s="22"/>
      <c r="I27" s="22"/>
      <c r="J27" s="22"/>
      <c r="K27" s="22"/>
      <c r="L27" s="22"/>
      <c r="M27" s="22"/>
      <c r="N27" s="121"/>
    </row>
    <row r="28" spans="2:14" x14ac:dyDescent="0.25">
      <c r="B28" s="134"/>
      <c r="C28" s="22"/>
      <c r="D28" s="22"/>
      <c r="E28" s="22"/>
      <c r="F28" s="22"/>
      <c r="G28" s="22"/>
      <c r="H28" s="22"/>
      <c r="I28" s="22"/>
      <c r="J28" s="22"/>
      <c r="K28" s="22"/>
      <c r="L28" s="22"/>
      <c r="M28" s="22"/>
      <c r="N28" s="121"/>
    </row>
    <row r="29" spans="2:14" x14ac:dyDescent="0.25">
      <c r="B29" s="134"/>
      <c r="C29" s="22"/>
      <c r="D29" s="22"/>
      <c r="E29" s="22"/>
      <c r="F29" s="22"/>
      <c r="G29" s="22"/>
      <c r="H29" s="22"/>
      <c r="I29" s="22"/>
      <c r="J29" s="22"/>
      <c r="K29" s="22"/>
      <c r="L29" s="22"/>
      <c r="M29" s="22"/>
      <c r="N29" s="121"/>
    </row>
    <row r="30" spans="2:14" x14ac:dyDescent="0.25">
      <c r="B30" s="134"/>
      <c r="C30" s="22"/>
      <c r="D30" s="22"/>
      <c r="E30" s="22"/>
      <c r="F30" s="22"/>
      <c r="G30" s="22"/>
      <c r="H30" s="22"/>
      <c r="I30" s="22"/>
      <c r="J30" s="22"/>
      <c r="K30" s="22"/>
      <c r="L30" s="22"/>
      <c r="M30" s="22"/>
      <c r="N30" s="121"/>
    </row>
    <row r="31" spans="2:14" x14ac:dyDescent="0.25">
      <c r="B31" s="134"/>
      <c r="C31" s="22"/>
      <c r="D31" s="22"/>
      <c r="E31" s="22"/>
      <c r="F31" s="22"/>
      <c r="G31" s="22"/>
      <c r="H31" s="22"/>
      <c r="I31" s="22"/>
      <c r="J31" s="22"/>
      <c r="K31" s="22"/>
      <c r="L31" s="22"/>
      <c r="M31" s="22"/>
      <c r="N31" s="121"/>
    </row>
    <row r="32" spans="2:14" x14ac:dyDescent="0.25">
      <c r="B32" s="134"/>
      <c r="C32" s="22"/>
      <c r="D32" s="22"/>
      <c r="E32" s="22"/>
      <c r="F32" s="22"/>
      <c r="G32" s="22"/>
      <c r="H32" s="22"/>
      <c r="I32" s="22"/>
      <c r="J32" s="22"/>
      <c r="K32" s="22"/>
      <c r="L32" s="22"/>
      <c r="M32" s="22"/>
      <c r="N32" s="121"/>
    </row>
    <row r="33" spans="2:14" x14ac:dyDescent="0.25">
      <c r="B33" s="134"/>
      <c r="C33" s="22"/>
      <c r="D33" s="22"/>
      <c r="E33" s="22"/>
      <c r="F33" s="22"/>
      <c r="G33" s="22"/>
      <c r="H33" s="22"/>
      <c r="I33" s="22"/>
      <c r="J33" s="22"/>
      <c r="K33" s="22"/>
      <c r="L33" s="22"/>
      <c r="M33" s="22"/>
      <c r="N33" s="121"/>
    </row>
    <row r="34" spans="2:14" ht="57.75" customHeight="1" x14ac:dyDescent="0.25">
      <c r="B34" s="240" t="s">
        <v>281</v>
      </c>
      <c r="C34" s="241"/>
      <c r="D34" s="241"/>
      <c r="E34" s="241"/>
      <c r="F34" s="241"/>
      <c r="G34" s="241"/>
      <c r="H34" s="241"/>
      <c r="I34" s="241"/>
      <c r="J34" s="241"/>
      <c r="K34" s="241"/>
      <c r="L34" s="241"/>
      <c r="M34" s="241"/>
      <c r="N34" s="121"/>
    </row>
    <row r="35" spans="2:14" ht="60" customHeight="1" x14ac:dyDescent="0.25">
      <c r="B35" s="238" t="s">
        <v>265</v>
      </c>
      <c r="C35" s="239"/>
      <c r="D35" s="239"/>
      <c r="E35" s="239"/>
      <c r="F35" s="239"/>
      <c r="G35" s="239"/>
      <c r="H35" s="239"/>
      <c r="I35" s="239"/>
      <c r="J35" s="239"/>
      <c r="K35" s="239"/>
      <c r="L35" s="239"/>
      <c r="M35" s="239"/>
      <c r="N35" s="121"/>
    </row>
    <row r="36" spans="2:14" ht="81.75" customHeight="1" thickBot="1" x14ac:dyDescent="0.3">
      <c r="B36" s="230" t="s">
        <v>282</v>
      </c>
      <c r="C36" s="231"/>
      <c r="D36" s="231"/>
      <c r="E36" s="231"/>
      <c r="F36" s="231"/>
      <c r="G36" s="231"/>
      <c r="H36" s="231"/>
      <c r="I36" s="231"/>
      <c r="J36" s="231"/>
      <c r="K36" s="231"/>
      <c r="L36" s="231"/>
      <c r="M36" s="231"/>
      <c r="N36" s="137"/>
    </row>
    <row r="37" spans="2:14" ht="15.75" thickTop="1" x14ac:dyDescent="0.25">
      <c r="B37" s="32"/>
      <c r="C37" s="32"/>
      <c r="D37" s="32"/>
      <c r="E37" s="32"/>
      <c r="F37" s="32"/>
      <c r="G37" s="32"/>
      <c r="H37" s="32"/>
      <c r="I37" s="32"/>
      <c r="J37" s="32"/>
      <c r="K37" s="32"/>
      <c r="L37" s="32"/>
      <c r="M37" s="32"/>
    </row>
    <row r="38" spans="2:14" x14ac:dyDescent="0.25">
      <c r="B38" s="32"/>
      <c r="C38" s="32"/>
      <c r="D38" s="32"/>
      <c r="E38" s="32"/>
      <c r="F38" s="32"/>
      <c r="G38" s="32"/>
      <c r="H38" s="32"/>
      <c r="I38" s="32"/>
      <c r="J38" s="32"/>
      <c r="K38" s="32"/>
      <c r="L38" s="32"/>
      <c r="M38" s="32"/>
    </row>
    <row r="39" spans="2:14" x14ac:dyDescent="0.25">
      <c r="B39" s="32"/>
      <c r="C39" s="32"/>
      <c r="D39" s="32"/>
      <c r="E39" s="32"/>
      <c r="F39" s="32"/>
      <c r="G39" s="32"/>
      <c r="H39" s="32"/>
      <c r="I39" s="32"/>
      <c r="J39" s="32"/>
      <c r="K39" s="32"/>
      <c r="L39" s="32"/>
      <c r="M39" s="32"/>
    </row>
    <row r="40" spans="2:14" x14ac:dyDescent="0.25">
      <c r="B40" s="32"/>
      <c r="C40" s="32"/>
      <c r="D40" s="32"/>
      <c r="E40" s="32"/>
      <c r="F40" s="32"/>
      <c r="G40" s="32"/>
      <c r="H40" s="32"/>
      <c r="I40" s="32"/>
      <c r="J40" s="32"/>
      <c r="K40" s="32"/>
      <c r="L40" s="32"/>
      <c r="M40" s="32"/>
    </row>
    <row r="41" spans="2:14" x14ac:dyDescent="0.25">
      <c r="B41" s="32"/>
      <c r="C41" s="32"/>
      <c r="D41" s="32"/>
      <c r="E41" s="32"/>
      <c r="F41" s="32"/>
      <c r="G41" s="32"/>
      <c r="H41" s="32"/>
      <c r="I41" s="32"/>
      <c r="J41" s="32"/>
      <c r="K41" s="32"/>
      <c r="L41" s="32"/>
      <c r="M41" s="32"/>
    </row>
    <row r="42" spans="2:14" x14ac:dyDescent="0.25">
      <c r="B42" s="32"/>
      <c r="C42" s="32"/>
      <c r="D42" s="32"/>
      <c r="E42" s="32"/>
      <c r="F42" s="32"/>
      <c r="G42" s="32"/>
      <c r="H42" s="32"/>
      <c r="I42" s="32"/>
      <c r="J42" s="32"/>
      <c r="K42" s="32"/>
      <c r="L42" s="32"/>
      <c r="M42" s="32"/>
    </row>
    <row r="43" spans="2:14" x14ac:dyDescent="0.25">
      <c r="B43" s="32"/>
      <c r="C43" s="32"/>
      <c r="D43" s="32"/>
      <c r="E43" s="32"/>
      <c r="F43" s="32"/>
      <c r="G43" s="32"/>
      <c r="H43" s="32"/>
      <c r="I43" s="32"/>
      <c r="J43" s="32"/>
      <c r="K43" s="32"/>
      <c r="L43" s="32"/>
      <c r="M43" s="32"/>
    </row>
    <row r="44" spans="2:14" x14ac:dyDescent="0.25">
      <c r="B44" s="32"/>
      <c r="C44" s="32"/>
      <c r="D44" s="32"/>
      <c r="E44" s="32"/>
      <c r="F44" s="32"/>
      <c r="G44" s="32"/>
      <c r="H44" s="32"/>
      <c r="I44" s="32"/>
      <c r="J44" s="32"/>
      <c r="K44" s="32"/>
      <c r="L44" s="32"/>
      <c r="M44" s="32"/>
    </row>
    <row r="45" spans="2:14" x14ac:dyDescent="0.25">
      <c r="B45" s="32"/>
      <c r="C45" s="32"/>
      <c r="D45" s="32"/>
      <c r="E45" s="32"/>
      <c r="F45" s="32"/>
      <c r="G45" s="32"/>
      <c r="H45" s="32"/>
      <c r="I45" s="32"/>
      <c r="J45" s="32"/>
      <c r="K45" s="32"/>
      <c r="L45" s="32"/>
      <c r="M45" s="32"/>
    </row>
    <row r="46" spans="2:14" x14ac:dyDescent="0.25">
      <c r="B46" s="32"/>
      <c r="C46" s="32"/>
      <c r="D46" s="32"/>
      <c r="E46" s="32"/>
      <c r="F46" s="32"/>
      <c r="G46" s="32"/>
      <c r="H46" s="32"/>
      <c r="I46" s="32"/>
      <c r="J46" s="32"/>
      <c r="K46" s="32"/>
      <c r="L46" s="32"/>
      <c r="M46" s="32"/>
    </row>
    <row r="47" spans="2:14" x14ac:dyDescent="0.25">
      <c r="B47" s="32"/>
      <c r="C47" s="32"/>
      <c r="D47" s="32"/>
      <c r="E47" s="32"/>
      <c r="F47" s="32"/>
      <c r="G47" s="32"/>
      <c r="H47" s="32"/>
      <c r="I47" s="32"/>
      <c r="J47" s="32"/>
      <c r="K47" s="32"/>
      <c r="L47" s="32"/>
      <c r="M47" s="32"/>
    </row>
    <row r="48" spans="2:14" x14ac:dyDescent="0.25">
      <c r="B48" s="32"/>
      <c r="C48" s="32"/>
      <c r="D48" s="32"/>
      <c r="E48" s="32"/>
      <c r="F48" s="32"/>
      <c r="G48" s="32"/>
      <c r="H48" s="32"/>
      <c r="I48" s="32"/>
      <c r="J48" s="32"/>
      <c r="K48" s="32"/>
      <c r="L48" s="32"/>
      <c r="M48" s="32"/>
    </row>
    <row r="49" spans="2:13" x14ac:dyDescent="0.25">
      <c r="B49" s="32"/>
      <c r="C49" s="32"/>
      <c r="D49" s="32"/>
      <c r="E49" s="32"/>
      <c r="F49" s="32"/>
      <c r="G49" s="32"/>
      <c r="H49" s="32"/>
      <c r="I49" s="32"/>
      <c r="J49" s="32"/>
      <c r="K49" s="32"/>
      <c r="L49" s="32"/>
      <c r="M49" s="32"/>
    </row>
    <row r="50" spans="2:13" x14ac:dyDescent="0.25">
      <c r="B50" s="32"/>
      <c r="C50" s="32"/>
      <c r="D50" s="32"/>
      <c r="E50" s="32"/>
      <c r="F50" s="32"/>
      <c r="G50" s="32"/>
      <c r="H50" s="32"/>
      <c r="I50" s="32"/>
      <c r="J50" s="32"/>
      <c r="K50" s="32"/>
      <c r="L50" s="32"/>
      <c r="M50" s="32"/>
    </row>
    <row r="51" spans="2:13" x14ac:dyDescent="0.25">
      <c r="B51" s="32"/>
      <c r="C51" s="32"/>
      <c r="D51" s="32"/>
      <c r="E51" s="32"/>
      <c r="F51" s="32"/>
      <c r="G51" s="32"/>
      <c r="H51" s="32"/>
      <c r="I51" s="32"/>
      <c r="J51" s="32"/>
      <c r="K51" s="32"/>
      <c r="L51" s="32"/>
      <c r="M51" s="32"/>
    </row>
    <row r="52" spans="2:13" x14ac:dyDescent="0.25">
      <c r="B52" s="32"/>
      <c r="C52" s="32"/>
      <c r="D52" s="32"/>
      <c r="E52" s="32"/>
      <c r="F52" s="32"/>
      <c r="G52" s="32"/>
      <c r="H52" s="32"/>
      <c r="I52" s="32"/>
      <c r="J52" s="32"/>
      <c r="K52" s="32"/>
      <c r="L52" s="32"/>
      <c r="M52" s="32"/>
    </row>
    <row r="53" spans="2:13" x14ac:dyDescent="0.25">
      <c r="B53" s="32"/>
      <c r="C53" s="32"/>
      <c r="D53" s="32"/>
      <c r="E53" s="32"/>
      <c r="F53" s="32"/>
      <c r="G53" s="32"/>
      <c r="H53" s="32"/>
      <c r="I53" s="32"/>
      <c r="J53" s="32"/>
      <c r="K53" s="32"/>
      <c r="L53" s="32"/>
      <c r="M53" s="32"/>
    </row>
    <row r="54" spans="2:13" x14ac:dyDescent="0.25">
      <c r="B54" s="32"/>
      <c r="C54" s="32"/>
      <c r="D54" s="32"/>
      <c r="E54" s="32"/>
      <c r="F54" s="32"/>
      <c r="G54" s="32"/>
      <c r="H54" s="32"/>
      <c r="I54" s="32"/>
      <c r="J54" s="32"/>
      <c r="K54" s="32"/>
      <c r="L54" s="32"/>
      <c r="M54" s="32"/>
    </row>
    <row r="55" spans="2:13" x14ac:dyDescent="0.25">
      <c r="B55" s="32"/>
      <c r="C55" s="32"/>
      <c r="D55" s="32"/>
      <c r="E55" s="32"/>
      <c r="F55" s="32"/>
      <c r="G55" s="32"/>
      <c r="H55" s="32"/>
      <c r="I55" s="32"/>
      <c r="J55" s="32"/>
      <c r="K55" s="32"/>
      <c r="L55" s="32"/>
      <c r="M55" s="32"/>
    </row>
    <row r="56" spans="2:13" x14ac:dyDescent="0.25">
      <c r="B56" s="32"/>
      <c r="C56" s="32"/>
      <c r="D56" s="32"/>
      <c r="E56" s="32"/>
      <c r="F56" s="32"/>
      <c r="G56" s="32"/>
      <c r="H56" s="32"/>
      <c r="I56" s="32"/>
      <c r="J56" s="32"/>
      <c r="K56" s="32"/>
      <c r="L56" s="32"/>
      <c r="M56" s="32"/>
    </row>
    <row r="57" spans="2:13" x14ac:dyDescent="0.25">
      <c r="B57" s="32"/>
      <c r="C57" s="32"/>
      <c r="D57" s="32"/>
      <c r="E57" s="32"/>
      <c r="F57" s="32"/>
      <c r="G57" s="32"/>
      <c r="H57" s="32"/>
      <c r="I57" s="32"/>
      <c r="J57" s="32"/>
      <c r="K57" s="32"/>
      <c r="L57" s="32"/>
      <c r="M57" s="32"/>
    </row>
    <row r="58" spans="2:13" x14ac:dyDescent="0.25">
      <c r="B58" s="32"/>
      <c r="C58" s="32"/>
      <c r="D58" s="32"/>
      <c r="E58" s="32"/>
      <c r="F58" s="32"/>
      <c r="G58" s="32"/>
      <c r="H58" s="32"/>
      <c r="I58" s="32"/>
      <c r="J58" s="32"/>
      <c r="K58" s="32"/>
      <c r="L58" s="32"/>
      <c r="M58" s="32"/>
    </row>
    <row r="59" spans="2:13" x14ac:dyDescent="0.25">
      <c r="B59" s="32"/>
      <c r="C59" s="32"/>
      <c r="D59" s="32"/>
      <c r="E59" s="32"/>
      <c r="F59" s="32"/>
      <c r="G59" s="32"/>
      <c r="H59" s="32"/>
      <c r="I59" s="32"/>
      <c r="J59" s="32"/>
      <c r="K59" s="32"/>
      <c r="L59" s="32"/>
      <c r="M59" s="32"/>
    </row>
    <row r="60" spans="2:13" x14ac:dyDescent="0.25">
      <c r="B60" s="32"/>
      <c r="C60" s="32"/>
      <c r="D60" s="32"/>
      <c r="E60" s="32"/>
      <c r="F60" s="32"/>
      <c r="G60" s="32"/>
      <c r="H60" s="32"/>
      <c r="I60" s="32"/>
      <c r="J60" s="32"/>
      <c r="K60" s="32"/>
      <c r="L60" s="32"/>
      <c r="M60" s="32"/>
    </row>
    <row r="61" spans="2:13" x14ac:dyDescent="0.25">
      <c r="B61" s="32"/>
      <c r="C61" s="32"/>
      <c r="D61" s="32"/>
      <c r="E61" s="32"/>
      <c r="F61" s="32"/>
      <c r="G61" s="32"/>
      <c r="H61" s="32"/>
      <c r="I61" s="32"/>
      <c r="J61" s="32"/>
      <c r="K61" s="32"/>
      <c r="L61" s="32"/>
      <c r="M61" s="32"/>
    </row>
    <row r="62" spans="2:13" x14ac:dyDescent="0.25">
      <c r="B62" s="32"/>
      <c r="C62" s="32"/>
      <c r="D62" s="32"/>
      <c r="E62" s="32"/>
      <c r="F62" s="32"/>
      <c r="G62" s="32"/>
      <c r="H62" s="32"/>
      <c r="I62" s="32"/>
      <c r="J62" s="32"/>
      <c r="K62" s="32"/>
      <c r="L62" s="32"/>
      <c r="M62" s="32"/>
    </row>
    <row r="63" spans="2:13" x14ac:dyDescent="0.25">
      <c r="B63" s="32"/>
      <c r="C63" s="32"/>
      <c r="D63" s="32"/>
      <c r="E63" s="32"/>
      <c r="F63" s="32"/>
      <c r="G63" s="32"/>
      <c r="H63" s="32"/>
      <c r="I63" s="32"/>
      <c r="J63" s="32"/>
      <c r="K63" s="32"/>
      <c r="L63" s="32"/>
      <c r="M63" s="32"/>
    </row>
    <row r="64" spans="2:13" x14ac:dyDescent="0.25">
      <c r="B64" s="32"/>
      <c r="C64" s="32"/>
      <c r="D64" s="32"/>
      <c r="E64" s="32"/>
      <c r="F64" s="32"/>
      <c r="G64" s="32"/>
      <c r="H64" s="32"/>
      <c r="I64" s="32"/>
      <c r="J64" s="32"/>
      <c r="K64" s="32"/>
      <c r="L64" s="32"/>
      <c r="M64" s="32"/>
    </row>
    <row r="65" spans="2:13" x14ac:dyDescent="0.25">
      <c r="B65" s="32"/>
      <c r="C65" s="32"/>
      <c r="D65" s="32"/>
      <c r="E65" s="32"/>
      <c r="F65" s="32"/>
      <c r="G65" s="32"/>
      <c r="H65" s="32"/>
      <c r="I65" s="32"/>
      <c r="J65" s="32"/>
      <c r="K65" s="32"/>
      <c r="L65" s="32"/>
      <c r="M65" s="32"/>
    </row>
    <row r="66" spans="2:13" x14ac:dyDescent="0.25">
      <c r="B66" s="32"/>
      <c r="C66" s="32"/>
      <c r="D66" s="32"/>
      <c r="E66" s="32"/>
      <c r="F66" s="32"/>
      <c r="G66" s="32"/>
      <c r="H66" s="32"/>
      <c r="I66" s="32"/>
      <c r="J66" s="32"/>
      <c r="K66" s="32"/>
      <c r="L66" s="32"/>
      <c r="M66" s="32"/>
    </row>
    <row r="67" spans="2:13" x14ac:dyDescent="0.25">
      <c r="B67" s="32"/>
      <c r="C67" s="32"/>
      <c r="D67" s="32"/>
      <c r="E67" s="32"/>
      <c r="F67" s="32"/>
      <c r="G67" s="32"/>
      <c r="H67" s="32"/>
      <c r="I67" s="32"/>
      <c r="J67" s="32"/>
      <c r="K67" s="32"/>
      <c r="L67" s="32"/>
      <c r="M67" s="32"/>
    </row>
    <row r="68" spans="2:13" x14ac:dyDescent="0.25">
      <c r="B68" s="32"/>
      <c r="C68" s="32"/>
      <c r="D68" s="32"/>
      <c r="E68" s="32"/>
      <c r="F68" s="32"/>
      <c r="G68" s="32"/>
      <c r="H68" s="32"/>
      <c r="I68" s="32"/>
      <c r="J68" s="32"/>
      <c r="K68" s="32"/>
      <c r="L68" s="32"/>
      <c r="M68" s="32"/>
    </row>
    <row r="69" spans="2:13" x14ac:dyDescent="0.25">
      <c r="B69" s="32"/>
      <c r="C69" s="32"/>
      <c r="D69" s="32"/>
      <c r="E69" s="32"/>
      <c r="F69" s="32"/>
      <c r="G69" s="32"/>
      <c r="H69" s="32"/>
      <c r="I69" s="32"/>
      <c r="J69" s="32"/>
      <c r="K69" s="32"/>
      <c r="L69" s="32"/>
      <c r="M69" s="32"/>
    </row>
    <row r="70" spans="2:13" x14ac:dyDescent="0.25">
      <c r="B70" s="32"/>
      <c r="C70" s="32"/>
      <c r="D70" s="32"/>
      <c r="E70" s="32"/>
      <c r="F70" s="32"/>
      <c r="G70" s="32"/>
      <c r="H70" s="32"/>
      <c r="I70" s="32"/>
      <c r="J70" s="32"/>
      <c r="K70" s="32"/>
      <c r="L70" s="32"/>
      <c r="M70" s="32"/>
    </row>
    <row r="71" spans="2:13" x14ac:dyDescent="0.25">
      <c r="B71" s="32"/>
      <c r="C71" s="32"/>
      <c r="D71" s="32"/>
      <c r="E71" s="32"/>
      <c r="F71" s="32"/>
      <c r="G71" s="32"/>
      <c r="H71" s="32"/>
      <c r="I71" s="32"/>
      <c r="J71" s="32"/>
      <c r="K71" s="32"/>
      <c r="L71" s="32"/>
      <c r="M71" s="32"/>
    </row>
    <row r="72" spans="2:13" x14ac:dyDescent="0.25">
      <c r="B72" s="32"/>
      <c r="C72" s="32"/>
      <c r="D72" s="32"/>
      <c r="E72" s="32"/>
      <c r="F72" s="32"/>
      <c r="G72" s="32"/>
      <c r="H72" s="32"/>
      <c r="I72" s="32"/>
      <c r="J72" s="32"/>
      <c r="K72" s="32"/>
      <c r="L72" s="32"/>
      <c r="M72" s="32"/>
    </row>
    <row r="73" spans="2:13" x14ac:dyDescent="0.25">
      <c r="B73" s="32"/>
      <c r="C73" s="32"/>
      <c r="D73" s="32"/>
      <c r="E73" s="32"/>
      <c r="F73" s="32"/>
      <c r="G73" s="32"/>
      <c r="H73" s="32"/>
      <c r="I73" s="32"/>
      <c r="J73" s="32"/>
      <c r="K73" s="32"/>
      <c r="L73" s="32"/>
      <c r="M73" s="32"/>
    </row>
    <row r="74" spans="2:13" x14ac:dyDescent="0.25">
      <c r="B74" s="32"/>
      <c r="C74" s="32"/>
      <c r="D74" s="32"/>
      <c r="E74" s="32"/>
      <c r="F74" s="32"/>
      <c r="G74" s="32"/>
      <c r="H74" s="32"/>
      <c r="I74" s="32"/>
      <c r="J74" s="32"/>
      <c r="K74" s="32"/>
      <c r="L74" s="32"/>
      <c r="M74" s="32"/>
    </row>
    <row r="75" spans="2:13" x14ac:dyDescent="0.25">
      <c r="B75" s="32"/>
      <c r="C75" s="32"/>
      <c r="D75" s="32"/>
      <c r="E75" s="32"/>
      <c r="F75" s="32"/>
      <c r="G75" s="32"/>
      <c r="H75" s="32"/>
      <c r="I75" s="32"/>
      <c r="J75" s="32"/>
      <c r="K75" s="32"/>
      <c r="L75" s="32"/>
      <c r="M75" s="32"/>
    </row>
    <row r="76" spans="2:13" x14ac:dyDescent="0.25">
      <c r="B76" s="32"/>
      <c r="C76" s="32"/>
      <c r="D76" s="32"/>
      <c r="E76" s="32"/>
      <c r="F76" s="32"/>
      <c r="G76" s="32"/>
      <c r="H76" s="32"/>
      <c r="I76" s="32"/>
      <c r="J76" s="32"/>
      <c r="K76" s="32"/>
      <c r="L76" s="32"/>
      <c r="M76" s="32"/>
    </row>
    <row r="77" spans="2:13" x14ac:dyDescent="0.25">
      <c r="B77" s="32"/>
      <c r="C77" s="32"/>
      <c r="D77" s="32"/>
      <c r="E77" s="32"/>
      <c r="F77" s="32"/>
      <c r="G77" s="32"/>
      <c r="H77" s="32"/>
      <c r="I77" s="32"/>
      <c r="J77" s="32"/>
      <c r="K77" s="32"/>
      <c r="L77" s="32"/>
      <c r="M77" s="32"/>
    </row>
    <row r="78" spans="2:13" x14ac:dyDescent="0.25">
      <c r="B78" s="32"/>
      <c r="C78" s="32"/>
      <c r="D78" s="32"/>
      <c r="E78" s="32"/>
      <c r="F78" s="32"/>
      <c r="G78" s="32"/>
      <c r="H78" s="32"/>
      <c r="I78" s="32"/>
      <c r="J78" s="32"/>
      <c r="K78" s="32"/>
      <c r="L78" s="32"/>
      <c r="M78" s="32"/>
    </row>
    <row r="79" spans="2:13" x14ac:dyDescent="0.25">
      <c r="B79" s="32"/>
      <c r="C79" s="32"/>
      <c r="D79" s="32"/>
      <c r="E79" s="32"/>
      <c r="F79" s="32"/>
      <c r="G79" s="32"/>
      <c r="H79" s="32"/>
      <c r="I79" s="32"/>
      <c r="J79" s="32"/>
      <c r="K79" s="32"/>
      <c r="L79" s="32"/>
      <c r="M79" s="32"/>
    </row>
    <row r="80" spans="2:13" x14ac:dyDescent="0.25">
      <c r="B80" s="32"/>
      <c r="C80" s="32"/>
      <c r="D80" s="32"/>
      <c r="E80" s="32"/>
      <c r="F80" s="32"/>
      <c r="G80" s="32"/>
      <c r="H80" s="32"/>
      <c r="I80" s="32"/>
      <c r="J80" s="32"/>
      <c r="K80" s="32"/>
      <c r="L80" s="32"/>
      <c r="M80" s="32"/>
    </row>
    <row r="81" spans="2:13" x14ac:dyDescent="0.25">
      <c r="B81" s="32"/>
      <c r="C81" s="32"/>
      <c r="D81" s="32"/>
      <c r="E81" s="32"/>
      <c r="F81" s="32"/>
      <c r="G81" s="32"/>
      <c r="H81" s="32"/>
      <c r="I81" s="32"/>
      <c r="J81" s="32"/>
      <c r="K81" s="32"/>
      <c r="L81" s="32"/>
      <c r="M81" s="32"/>
    </row>
    <row r="82" spans="2:13" x14ac:dyDescent="0.25">
      <c r="B82" s="32"/>
      <c r="C82" s="32"/>
      <c r="D82" s="32"/>
      <c r="E82" s="32"/>
      <c r="F82" s="32"/>
      <c r="G82" s="32"/>
      <c r="H82" s="32"/>
      <c r="I82" s="32"/>
      <c r="J82" s="32"/>
      <c r="K82" s="32"/>
      <c r="L82" s="32"/>
      <c r="M82" s="32"/>
    </row>
    <row r="83" spans="2:13" x14ac:dyDescent="0.25">
      <c r="B83" s="32"/>
      <c r="C83" s="32"/>
      <c r="D83" s="32"/>
      <c r="E83" s="32"/>
      <c r="F83" s="32"/>
      <c r="G83" s="32"/>
      <c r="H83" s="32"/>
      <c r="I83" s="32"/>
      <c r="J83" s="32"/>
      <c r="K83" s="32"/>
      <c r="L83" s="32"/>
      <c r="M83" s="32"/>
    </row>
    <row r="84" spans="2:13" x14ac:dyDescent="0.25">
      <c r="B84" s="32"/>
      <c r="C84" s="32"/>
      <c r="D84" s="32"/>
      <c r="E84" s="32"/>
      <c r="F84" s="32"/>
      <c r="G84" s="32"/>
      <c r="H84" s="32"/>
      <c r="I84" s="32"/>
      <c r="J84" s="32"/>
      <c r="K84" s="32"/>
      <c r="L84" s="32"/>
      <c r="M84" s="32"/>
    </row>
    <row r="85" spans="2:13" x14ac:dyDescent="0.25">
      <c r="B85" s="32"/>
      <c r="C85" s="32"/>
      <c r="D85" s="32"/>
      <c r="E85" s="32"/>
      <c r="F85" s="32"/>
      <c r="G85" s="32"/>
      <c r="H85" s="32"/>
      <c r="I85" s="32"/>
      <c r="J85" s="32"/>
      <c r="K85" s="32"/>
      <c r="L85" s="32"/>
      <c r="M85" s="32"/>
    </row>
    <row r="86" spans="2:13" x14ac:dyDescent="0.25">
      <c r="B86" s="32"/>
      <c r="C86" s="32"/>
      <c r="D86" s="32"/>
      <c r="E86" s="32"/>
      <c r="F86" s="32"/>
      <c r="G86" s="32"/>
      <c r="H86" s="32"/>
      <c r="I86" s="32"/>
      <c r="J86" s="32"/>
      <c r="K86" s="32"/>
      <c r="L86" s="32"/>
      <c r="M86" s="32"/>
    </row>
    <row r="87" spans="2:13" x14ac:dyDescent="0.25">
      <c r="B87" s="32"/>
      <c r="C87" s="32"/>
      <c r="D87" s="32"/>
      <c r="E87" s="32"/>
      <c r="F87" s="32"/>
      <c r="G87" s="32"/>
      <c r="H87" s="32"/>
      <c r="I87" s="32"/>
      <c r="J87" s="32"/>
      <c r="K87" s="32"/>
      <c r="L87" s="32"/>
      <c r="M87" s="32"/>
    </row>
    <row r="88" spans="2:13" x14ac:dyDescent="0.25">
      <c r="B88" s="32"/>
      <c r="C88" s="32"/>
      <c r="D88" s="32"/>
      <c r="E88" s="32"/>
      <c r="F88" s="32"/>
      <c r="G88" s="32"/>
      <c r="H88" s="32"/>
      <c r="I88" s="32"/>
      <c r="J88" s="32"/>
      <c r="K88" s="32"/>
      <c r="L88" s="32"/>
      <c r="M88" s="32"/>
    </row>
    <row r="89" spans="2:13" x14ac:dyDescent="0.25">
      <c r="B89" s="32"/>
      <c r="C89" s="32"/>
      <c r="D89" s="32"/>
      <c r="E89" s="32"/>
      <c r="F89" s="32"/>
      <c r="G89" s="32"/>
      <c r="H89" s="32"/>
      <c r="I89" s="32"/>
      <c r="J89" s="32"/>
      <c r="K89" s="32"/>
      <c r="L89" s="32"/>
      <c r="M89" s="32"/>
    </row>
    <row r="90" spans="2:13" x14ac:dyDescent="0.25">
      <c r="B90" s="32"/>
      <c r="C90" s="32"/>
      <c r="D90" s="32"/>
      <c r="E90" s="32"/>
      <c r="F90" s="32"/>
      <c r="G90" s="32"/>
      <c r="H90" s="32"/>
      <c r="I90" s="32"/>
      <c r="J90" s="32"/>
      <c r="K90" s="32"/>
      <c r="L90" s="32"/>
      <c r="M90" s="32"/>
    </row>
    <row r="91" spans="2:13" x14ac:dyDescent="0.25">
      <c r="B91" s="32"/>
      <c r="C91" s="32"/>
      <c r="D91" s="32"/>
      <c r="E91" s="32"/>
      <c r="F91" s="32"/>
      <c r="G91" s="32"/>
      <c r="H91" s="32"/>
      <c r="I91" s="32"/>
      <c r="J91" s="32"/>
      <c r="K91" s="32"/>
      <c r="L91" s="32"/>
      <c r="M91" s="32"/>
    </row>
    <row r="92" spans="2:13" x14ac:dyDescent="0.25">
      <c r="B92" s="32"/>
      <c r="C92" s="32"/>
      <c r="D92" s="32"/>
      <c r="E92" s="32"/>
      <c r="F92" s="32"/>
      <c r="G92" s="32"/>
      <c r="H92" s="32"/>
      <c r="I92" s="32"/>
      <c r="J92" s="32"/>
      <c r="K92" s="32"/>
      <c r="L92" s="32"/>
      <c r="M92" s="32"/>
    </row>
    <row r="93" spans="2:13" x14ac:dyDescent="0.25">
      <c r="B93" s="32"/>
      <c r="C93" s="32"/>
      <c r="D93" s="32"/>
      <c r="E93" s="32"/>
      <c r="F93" s="32"/>
      <c r="G93" s="32"/>
      <c r="H93" s="32"/>
      <c r="I93" s="32"/>
      <c r="J93" s="32"/>
      <c r="K93" s="32"/>
      <c r="L93" s="32"/>
      <c r="M93" s="32"/>
    </row>
    <row r="94" spans="2:13" x14ac:dyDescent="0.25">
      <c r="B94" s="32"/>
      <c r="C94" s="32"/>
      <c r="D94" s="32"/>
      <c r="E94" s="32"/>
      <c r="F94" s="32"/>
      <c r="G94" s="32"/>
      <c r="H94" s="32"/>
      <c r="I94" s="32"/>
      <c r="J94" s="32"/>
      <c r="K94" s="32"/>
      <c r="L94" s="32"/>
      <c r="M94" s="32"/>
    </row>
    <row r="95" spans="2:13" x14ac:dyDescent="0.25">
      <c r="B95" s="32"/>
      <c r="C95" s="32"/>
      <c r="D95" s="32"/>
      <c r="E95" s="32"/>
      <c r="F95" s="32"/>
      <c r="G95" s="32"/>
      <c r="H95" s="32"/>
      <c r="I95" s="32"/>
      <c r="J95" s="32"/>
      <c r="K95" s="32"/>
      <c r="L95" s="32"/>
      <c r="M95" s="32"/>
    </row>
    <row r="96" spans="2:13" x14ac:dyDescent="0.25">
      <c r="B96" s="32"/>
      <c r="C96" s="32"/>
      <c r="D96" s="32"/>
      <c r="E96" s="32"/>
      <c r="F96" s="32"/>
      <c r="G96" s="32"/>
      <c r="H96" s="32"/>
      <c r="I96" s="32"/>
      <c r="J96" s="32"/>
      <c r="K96" s="32"/>
      <c r="L96" s="32"/>
      <c r="M96" s="32"/>
    </row>
    <row r="97" spans="2:13" x14ac:dyDescent="0.25">
      <c r="B97" s="32"/>
      <c r="C97" s="32"/>
      <c r="D97" s="32"/>
      <c r="E97" s="32"/>
      <c r="F97" s="32"/>
      <c r="G97" s="32"/>
      <c r="H97" s="32"/>
      <c r="I97" s="32"/>
      <c r="J97" s="32"/>
      <c r="K97" s="32"/>
      <c r="L97" s="32"/>
      <c r="M97" s="32"/>
    </row>
    <row r="98" spans="2:13" x14ac:dyDescent="0.25">
      <c r="B98" s="32"/>
      <c r="C98" s="32"/>
      <c r="D98" s="32"/>
      <c r="E98" s="32"/>
      <c r="F98" s="32"/>
      <c r="G98" s="32"/>
      <c r="H98" s="32"/>
      <c r="I98" s="32"/>
      <c r="J98" s="32"/>
      <c r="K98" s="32"/>
      <c r="L98" s="32"/>
      <c r="M98" s="32"/>
    </row>
    <row r="99" spans="2:13" x14ac:dyDescent="0.25">
      <c r="B99" s="32"/>
      <c r="C99" s="32"/>
      <c r="D99" s="32"/>
      <c r="E99" s="32"/>
      <c r="F99" s="32"/>
      <c r="G99" s="32"/>
      <c r="H99" s="32"/>
      <c r="I99" s="32"/>
      <c r="J99" s="32"/>
      <c r="K99" s="32"/>
      <c r="L99" s="32"/>
      <c r="M99" s="32"/>
    </row>
    <row r="100" spans="2:13" x14ac:dyDescent="0.25">
      <c r="B100" s="32"/>
      <c r="C100" s="32"/>
      <c r="D100" s="32"/>
      <c r="E100" s="32"/>
      <c r="F100" s="32"/>
      <c r="G100" s="32"/>
      <c r="H100" s="32"/>
      <c r="I100" s="32"/>
      <c r="J100" s="32"/>
      <c r="K100" s="32"/>
      <c r="L100" s="32"/>
      <c r="M100" s="32"/>
    </row>
    <row r="101" spans="2:13" x14ac:dyDescent="0.25">
      <c r="B101" s="32"/>
      <c r="C101" s="32"/>
      <c r="D101" s="32"/>
      <c r="E101" s="32"/>
      <c r="F101" s="32"/>
      <c r="G101" s="32"/>
      <c r="H101" s="32"/>
      <c r="I101" s="32"/>
      <c r="J101" s="32"/>
      <c r="K101" s="32"/>
      <c r="L101" s="32"/>
      <c r="M101" s="32"/>
    </row>
    <row r="102" spans="2:13" x14ac:dyDescent="0.25">
      <c r="B102" s="32"/>
      <c r="C102" s="32"/>
      <c r="D102" s="32"/>
      <c r="E102" s="32"/>
      <c r="F102" s="32"/>
      <c r="G102" s="32"/>
      <c r="H102" s="32"/>
      <c r="I102" s="32"/>
      <c r="J102" s="32"/>
      <c r="K102" s="32"/>
      <c r="L102" s="32"/>
      <c r="M102" s="32"/>
    </row>
    <row r="103" spans="2:13" x14ac:dyDescent="0.25">
      <c r="B103" s="32"/>
      <c r="C103" s="32"/>
      <c r="D103" s="32"/>
      <c r="E103" s="32"/>
      <c r="F103" s="32"/>
      <c r="G103" s="32"/>
      <c r="H103" s="32"/>
      <c r="I103" s="32"/>
      <c r="J103" s="32"/>
      <c r="K103" s="32"/>
      <c r="L103" s="32"/>
      <c r="M103" s="32"/>
    </row>
    <row r="104" spans="2:13" x14ac:dyDescent="0.25">
      <c r="B104" s="32"/>
      <c r="C104" s="32"/>
      <c r="D104" s="32"/>
      <c r="E104" s="32"/>
      <c r="F104" s="32"/>
      <c r="G104" s="32"/>
      <c r="H104" s="32"/>
      <c r="I104" s="32"/>
      <c r="J104" s="32"/>
      <c r="K104" s="32"/>
      <c r="L104" s="32"/>
      <c r="M104" s="32"/>
    </row>
    <row r="105" spans="2:13" x14ac:dyDescent="0.25">
      <c r="B105" s="32"/>
      <c r="C105" s="32"/>
      <c r="D105" s="32"/>
      <c r="E105" s="32"/>
      <c r="F105" s="32"/>
      <c r="G105" s="32"/>
      <c r="H105" s="32"/>
      <c r="I105" s="32"/>
      <c r="J105" s="32"/>
      <c r="K105" s="32"/>
      <c r="L105" s="32"/>
      <c r="M105" s="32"/>
    </row>
    <row r="106" spans="2:13" x14ac:dyDescent="0.25">
      <c r="B106" s="32"/>
      <c r="C106" s="32"/>
      <c r="D106" s="32"/>
      <c r="E106" s="32"/>
      <c r="F106" s="32"/>
      <c r="G106" s="32"/>
      <c r="H106" s="32"/>
      <c r="I106" s="32"/>
      <c r="J106" s="32"/>
      <c r="K106" s="32"/>
      <c r="L106" s="32"/>
      <c r="M106" s="32"/>
    </row>
    <row r="107" spans="2:13" x14ac:dyDescent="0.25">
      <c r="B107" s="32"/>
      <c r="C107" s="32"/>
      <c r="D107" s="32"/>
      <c r="E107" s="32"/>
      <c r="F107" s="32"/>
      <c r="G107" s="32"/>
      <c r="H107" s="32"/>
      <c r="I107" s="32"/>
      <c r="J107" s="32"/>
      <c r="K107" s="32"/>
      <c r="L107" s="32"/>
      <c r="M107" s="32"/>
    </row>
    <row r="108" spans="2:13" x14ac:dyDescent="0.25">
      <c r="B108" s="32"/>
      <c r="C108" s="32"/>
      <c r="D108" s="32"/>
      <c r="E108" s="32"/>
      <c r="F108" s="32"/>
      <c r="G108" s="32"/>
      <c r="H108" s="32"/>
      <c r="I108" s="32"/>
      <c r="J108" s="32"/>
      <c r="K108" s="32"/>
      <c r="L108" s="32"/>
      <c r="M108" s="32"/>
    </row>
    <row r="109" spans="2:13" x14ac:dyDescent="0.25">
      <c r="B109" s="32"/>
      <c r="C109" s="32"/>
      <c r="D109" s="32"/>
      <c r="E109" s="32"/>
      <c r="F109" s="32"/>
      <c r="G109" s="32"/>
      <c r="H109" s="32"/>
      <c r="I109" s="32"/>
      <c r="J109" s="32"/>
      <c r="K109" s="32"/>
      <c r="L109" s="32"/>
      <c r="M109" s="32"/>
    </row>
    <row r="110" spans="2:13" x14ac:dyDescent="0.25">
      <c r="B110" s="32"/>
      <c r="C110" s="32"/>
      <c r="D110" s="32"/>
      <c r="E110" s="32"/>
      <c r="F110" s="32"/>
      <c r="G110" s="32"/>
      <c r="H110" s="32"/>
      <c r="I110" s="32"/>
      <c r="J110" s="32"/>
      <c r="K110" s="32"/>
      <c r="L110" s="32"/>
      <c r="M110" s="32"/>
    </row>
    <row r="111" spans="2:13" x14ac:dyDescent="0.25">
      <c r="B111" s="32"/>
      <c r="C111" s="32"/>
      <c r="D111" s="32"/>
      <c r="E111" s="32"/>
      <c r="F111" s="32"/>
      <c r="G111" s="32"/>
      <c r="H111" s="32"/>
      <c r="I111" s="32"/>
      <c r="J111" s="32"/>
      <c r="K111" s="32"/>
      <c r="L111" s="32"/>
      <c r="M111" s="32"/>
    </row>
    <row r="112" spans="2:13" x14ac:dyDescent="0.25">
      <c r="B112" s="32"/>
      <c r="C112" s="32"/>
      <c r="D112" s="32"/>
      <c r="E112" s="32"/>
      <c r="F112" s="32"/>
      <c r="G112" s="32"/>
      <c r="H112" s="32"/>
      <c r="I112" s="32"/>
      <c r="J112" s="32"/>
      <c r="K112" s="32"/>
      <c r="L112" s="32"/>
      <c r="M112" s="32"/>
    </row>
    <row r="113" spans="2:13" x14ac:dyDescent="0.25">
      <c r="B113" s="32"/>
      <c r="C113" s="32"/>
      <c r="D113" s="32"/>
      <c r="E113" s="32"/>
      <c r="F113" s="32"/>
      <c r="G113" s="32"/>
      <c r="H113" s="32"/>
      <c r="I113" s="32"/>
      <c r="J113" s="32"/>
      <c r="K113" s="32"/>
      <c r="L113" s="32"/>
      <c r="M113" s="32"/>
    </row>
    <row r="114" spans="2:13" x14ac:dyDescent="0.25">
      <c r="B114" s="32"/>
      <c r="C114" s="32"/>
      <c r="D114" s="32"/>
      <c r="E114" s="32"/>
      <c r="F114" s="32"/>
      <c r="G114" s="32"/>
      <c r="H114" s="32"/>
      <c r="I114" s="32"/>
      <c r="J114" s="32"/>
      <c r="K114" s="32"/>
      <c r="L114" s="32"/>
      <c r="M114" s="32"/>
    </row>
    <row r="115" spans="2:13" x14ac:dyDescent="0.25">
      <c r="B115" s="32"/>
      <c r="C115" s="32"/>
      <c r="D115" s="32"/>
      <c r="E115" s="32"/>
      <c r="F115" s="32"/>
      <c r="G115" s="32"/>
      <c r="H115" s="32"/>
      <c r="I115" s="32"/>
      <c r="J115" s="32"/>
      <c r="K115" s="32"/>
      <c r="L115" s="32"/>
      <c r="M115" s="32"/>
    </row>
    <row r="116" spans="2:13" x14ac:dyDescent="0.25">
      <c r="B116" s="32"/>
      <c r="C116" s="32"/>
      <c r="D116" s="32"/>
      <c r="E116" s="32"/>
      <c r="F116" s="32"/>
      <c r="G116" s="32"/>
      <c r="H116" s="32"/>
      <c r="I116" s="32"/>
      <c r="J116" s="32"/>
      <c r="K116" s="32"/>
      <c r="L116" s="32"/>
      <c r="M116" s="32"/>
    </row>
    <row r="117" spans="2:13" x14ac:dyDescent="0.25">
      <c r="B117" s="32"/>
      <c r="C117" s="32"/>
      <c r="D117" s="32"/>
      <c r="E117" s="32"/>
      <c r="F117" s="32"/>
      <c r="G117" s="32"/>
      <c r="H117" s="32"/>
      <c r="I117" s="32"/>
      <c r="J117" s="32"/>
      <c r="K117" s="32"/>
      <c r="L117" s="32"/>
      <c r="M117" s="32"/>
    </row>
    <row r="118" spans="2:13" x14ac:dyDescent="0.25">
      <c r="B118" s="32"/>
      <c r="C118" s="32"/>
      <c r="D118" s="32"/>
      <c r="E118" s="32"/>
      <c r="F118" s="32"/>
      <c r="G118" s="32"/>
      <c r="H118" s="32"/>
      <c r="I118" s="32"/>
      <c r="J118" s="32"/>
      <c r="K118" s="32"/>
      <c r="L118" s="32"/>
      <c r="M118" s="32"/>
    </row>
    <row r="119" spans="2:13" x14ac:dyDescent="0.25">
      <c r="B119" s="32"/>
      <c r="C119" s="32"/>
      <c r="D119" s="32"/>
      <c r="E119" s="32"/>
      <c r="F119" s="32"/>
      <c r="G119" s="32"/>
      <c r="H119" s="32"/>
      <c r="I119" s="32"/>
      <c r="J119" s="32"/>
      <c r="K119" s="32"/>
      <c r="L119" s="32"/>
      <c r="M119" s="32"/>
    </row>
    <row r="120" spans="2:13" x14ac:dyDescent="0.25">
      <c r="B120" s="32"/>
      <c r="C120" s="32"/>
      <c r="D120" s="32"/>
      <c r="E120" s="32"/>
      <c r="F120" s="32"/>
      <c r="G120" s="32"/>
      <c r="H120" s="32"/>
      <c r="I120" s="32"/>
      <c r="J120" s="32"/>
      <c r="K120" s="32"/>
      <c r="L120" s="32"/>
      <c r="M120" s="32"/>
    </row>
    <row r="121" spans="2:13" x14ac:dyDescent="0.25">
      <c r="B121" s="32"/>
      <c r="C121" s="32"/>
      <c r="D121" s="32"/>
      <c r="E121" s="32"/>
      <c r="F121" s="32"/>
      <c r="G121" s="32"/>
      <c r="H121" s="32"/>
      <c r="I121" s="32"/>
      <c r="J121" s="32"/>
      <c r="K121" s="32"/>
      <c r="L121" s="32"/>
      <c r="M121" s="32"/>
    </row>
  </sheetData>
  <sheetProtection algorithmName="SHA-512" hashValue="bbc6/bC5GOWBa8FfUev9r+JFonVewQqACfbQB+zgp0rVIhMRsRdlVBRBECagDNb4lSf0Kv49f8BSI59ag8QPSg==" saltValue="WXhomQpBQHOnASgeHMmh1g==" spinCount="100000" sheet="1" objects="1" scenarios="1" selectLockedCells="1" selectUnlockedCells="1"/>
  <mergeCells count="6">
    <mergeCell ref="B36:M36"/>
    <mergeCell ref="B3:N5"/>
    <mergeCell ref="B7:M7"/>
    <mergeCell ref="B8:M8"/>
    <mergeCell ref="B34:M34"/>
    <mergeCell ref="B35:M3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9CC58-1A30-4197-B124-2D76D663374C}">
  <dimension ref="B3:AE97"/>
  <sheetViews>
    <sheetView showRowColHeaders="0" zoomScaleNormal="100" workbookViewId="0">
      <selection activeCell="B6" sqref="B6:M6"/>
    </sheetView>
  </sheetViews>
  <sheetFormatPr defaultColWidth="9.140625" defaultRowHeight="15" x14ac:dyDescent="0.25"/>
  <cols>
    <col min="1" max="13" width="9.140625" style="139"/>
    <col min="14" max="14" width="1.7109375" style="139" customWidth="1"/>
    <col min="15" max="28" width="9.140625" style="139"/>
    <col min="29" max="29" width="7.7109375" style="139" customWidth="1"/>
    <col min="30" max="31" width="9.140625" style="139" hidden="1" customWidth="1"/>
    <col min="32" max="16384" width="9.140625" style="139"/>
  </cols>
  <sheetData>
    <row r="3" spans="2:31" ht="15.75" customHeight="1" x14ac:dyDescent="0.25">
      <c r="B3" s="244" t="s">
        <v>244</v>
      </c>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row>
    <row r="4" spans="2:31" ht="15" customHeight="1" x14ac:dyDescent="0.25">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row>
    <row r="5" spans="2:31" ht="8.25" customHeight="1" x14ac:dyDescent="0.25">
      <c r="B5" s="133"/>
      <c r="C5" s="1"/>
      <c r="D5" s="1"/>
      <c r="E5" s="1"/>
      <c r="F5" s="1"/>
      <c r="G5" s="1"/>
      <c r="H5" s="1"/>
      <c r="I5" s="1"/>
      <c r="J5" s="1"/>
      <c r="K5" s="1"/>
      <c r="L5" s="1"/>
      <c r="M5" s="1"/>
      <c r="N5" s="121"/>
    </row>
    <row r="6" spans="2:31" ht="23.45" customHeight="1" x14ac:dyDescent="0.25">
      <c r="B6" s="238" t="s">
        <v>283</v>
      </c>
      <c r="C6" s="239"/>
      <c r="D6" s="239"/>
      <c r="E6" s="239"/>
      <c r="F6" s="239"/>
      <c r="G6" s="239"/>
      <c r="H6" s="239"/>
      <c r="I6" s="239"/>
      <c r="J6" s="239"/>
      <c r="K6" s="239"/>
      <c r="L6" s="239"/>
      <c r="M6" s="239"/>
      <c r="N6" s="121"/>
    </row>
    <row r="7" spans="2:31" ht="58.5" customHeight="1" x14ac:dyDescent="0.25">
      <c r="B7" s="242" t="s">
        <v>241</v>
      </c>
      <c r="C7" s="243"/>
      <c r="D7" s="243"/>
      <c r="E7" s="243"/>
      <c r="F7" s="243"/>
      <c r="G7" s="243"/>
      <c r="H7" s="243"/>
      <c r="I7" s="243"/>
      <c r="J7" s="243"/>
      <c r="K7" s="243"/>
      <c r="L7" s="243"/>
      <c r="M7" s="243"/>
      <c r="N7" s="121"/>
    </row>
    <row r="8" spans="2:31" ht="35.450000000000003" customHeight="1" x14ac:dyDescent="0.25">
      <c r="B8" s="242" t="s">
        <v>239</v>
      </c>
      <c r="C8" s="243"/>
      <c r="D8" s="243"/>
      <c r="E8" s="243"/>
      <c r="F8" s="243"/>
      <c r="G8" s="243"/>
      <c r="H8" s="243"/>
      <c r="I8" s="243"/>
      <c r="J8" s="243"/>
      <c r="K8" s="243"/>
      <c r="L8" s="243"/>
      <c r="M8" s="243"/>
      <c r="N8" s="121"/>
    </row>
    <row r="9" spans="2:31" ht="62.45" customHeight="1" x14ac:dyDescent="0.25">
      <c r="B9" s="242" t="s">
        <v>242</v>
      </c>
      <c r="C9" s="243"/>
      <c r="D9" s="243"/>
      <c r="E9" s="243"/>
      <c r="F9" s="243"/>
      <c r="G9" s="243"/>
      <c r="H9" s="243"/>
      <c r="I9" s="243"/>
      <c r="J9" s="243"/>
      <c r="K9" s="243"/>
      <c r="L9" s="243"/>
      <c r="M9" s="243"/>
      <c r="N9" s="121"/>
    </row>
    <row r="10" spans="2:31" ht="78" customHeight="1" x14ac:dyDescent="0.25">
      <c r="B10" s="242" t="s">
        <v>240</v>
      </c>
      <c r="C10" s="243"/>
      <c r="D10" s="243"/>
      <c r="E10" s="243"/>
      <c r="F10" s="243"/>
      <c r="G10" s="243"/>
      <c r="H10" s="243"/>
      <c r="I10" s="243"/>
      <c r="J10" s="243"/>
      <c r="K10" s="243"/>
      <c r="L10" s="243"/>
      <c r="M10" s="243"/>
      <c r="N10" s="121"/>
    </row>
    <row r="11" spans="2:31" ht="37.5" customHeight="1" x14ac:dyDescent="0.25">
      <c r="B11" s="242" t="s">
        <v>243</v>
      </c>
      <c r="C11" s="243"/>
      <c r="D11" s="243"/>
      <c r="E11" s="243"/>
      <c r="F11" s="243"/>
      <c r="G11" s="243"/>
      <c r="H11" s="243"/>
      <c r="I11" s="243"/>
      <c r="J11" s="243"/>
      <c r="K11" s="243"/>
      <c r="L11" s="243"/>
      <c r="M11" s="243"/>
      <c r="N11" s="121"/>
    </row>
    <row r="12" spans="2:31" ht="15" customHeight="1" thickBot="1" x14ac:dyDescent="0.3">
      <c r="B12" s="230"/>
      <c r="C12" s="231"/>
      <c r="D12" s="231"/>
      <c r="E12" s="231"/>
      <c r="F12" s="231"/>
      <c r="G12" s="231"/>
      <c r="H12" s="231"/>
      <c r="I12" s="231"/>
      <c r="J12" s="231"/>
      <c r="K12" s="231"/>
      <c r="L12" s="231"/>
      <c r="M12" s="231"/>
      <c r="N12" s="137"/>
    </row>
    <row r="13" spans="2:31" ht="15.75" thickTop="1" x14ac:dyDescent="0.25">
      <c r="B13" s="32"/>
      <c r="C13" s="32"/>
      <c r="D13" s="32"/>
      <c r="E13" s="32"/>
      <c r="F13" s="32"/>
      <c r="G13" s="32"/>
      <c r="H13" s="32"/>
      <c r="I13" s="32"/>
      <c r="J13" s="32"/>
      <c r="K13" s="32"/>
      <c r="L13" s="32"/>
      <c r="M13" s="32"/>
    </row>
    <row r="14" spans="2:31" x14ac:dyDescent="0.25">
      <c r="B14" s="32"/>
      <c r="C14" s="32"/>
      <c r="D14" s="32"/>
      <c r="E14" s="32"/>
      <c r="F14" s="32"/>
      <c r="G14" s="32"/>
      <c r="H14" s="32"/>
      <c r="I14" s="32"/>
      <c r="J14" s="32"/>
      <c r="K14" s="32"/>
      <c r="L14" s="32"/>
      <c r="M14" s="32"/>
    </row>
    <row r="15" spans="2:31" x14ac:dyDescent="0.25">
      <c r="B15" s="32"/>
      <c r="C15" s="32"/>
      <c r="D15" s="32"/>
      <c r="E15" s="32"/>
      <c r="F15" s="32"/>
      <c r="G15" s="32"/>
      <c r="H15" s="32"/>
      <c r="I15" s="32"/>
      <c r="J15" s="32"/>
      <c r="K15" s="32"/>
      <c r="L15" s="32"/>
      <c r="M15" s="32"/>
    </row>
    <row r="16" spans="2:31" x14ac:dyDescent="0.25">
      <c r="B16" s="32"/>
      <c r="C16" s="32"/>
      <c r="D16" s="32"/>
      <c r="E16" s="32"/>
      <c r="F16" s="32"/>
      <c r="G16" s="32"/>
      <c r="H16" s="32"/>
      <c r="I16" s="32"/>
      <c r="J16" s="32"/>
      <c r="K16" s="32"/>
      <c r="L16" s="32"/>
      <c r="M16" s="32"/>
    </row>
    <row r="17" spans="2:13" x14ac:dyDescent="0.25">
      <c r="B17" s="32"/>
      <c r="C17" s="32"/>
      <c r="D17" s="32"/>
      <c r="E17" s="32"/>
      <c r="F17" s="32"/>
      <c r="G17" s="32"/>
      <c r="H17" s="32"/>
      <c r="I17" s="32"/>
      <c r="J17" s="32"/>
      <c r="K17" s="32"/>
      <c r="L17" s="32"/>
      <c r="M17" s="32"/>
    </row>
    <row r="18" spans="2:13" x14ac:dyDescent="0.25">
      <c r="B18" s="32"/>
      <c r="C18" s="32"/>
      <c r="D18" s="32"/>
      <c r="E18" s="32"/>
      <c r="F18" s="32"/>
      <c r="G18" s="32"/>
      <c r="H18" s="32"/>
      <c r="I18" s="32"/>
      <c r="J18" s="32"/>
      <c r="K18" s="32"/>
      <c r="L18" s="32"/>
      <c r="M18" s="32"/>
    </row>
    <row r="19" spans="2:13" x14ac:dyDescent="0.25">
      <c r="B19" s="32"/>
      <c r="C19" s="32"/>
      <c r="D19" s="32"/>
      <c r="E19" s="32"/>
      <c r="F19" s="32"/>
      <c r="G19" s="32"/>
      <c r="H19" s="32"/>
      <c r="I19" s="32"/>
      <c r="J19" s="32"/>
      <c r="K19" s="32"/>
      <c r="L19" s="32"/>
      <c r="M19" s="32"/>
    </row>
    <row r="20" spans="2:13" x14ac:dyDescent="0.25">
      <c r="B20" s="32"/>
      <c r="C20" s="32"/>
      <c r="D20" s="32"/>
      <c r="E20" s="32"/>
      <c r="F20" s="32"/>
      <c r="G20" s="32"/>
      <c r="H20" s="32"/>
      <c r="I20" s="32"/>
      <c r="J20" s="32"/>
      <c r="K20" s="32"/>
      <c r="L20" s="32"/>
      <c r="M20" s="32"/>
    </row>
    <row r="21" spans="2:13" x14ac:dyDescent="0.25">
      <c r="B21" s="32"/>
      <c r="C21" s="32"/>
      <c r="D21" s="32"/>
      <c r="E21" s="32"/>
      <c r="F21" s="32"/>
      <c r="G21" s="32"/>
      <c r="H21" s="32"/>
      <c r="I21" s="32"/>
      <c r="J21" s="32"/>
      <c r="K21" s="32"/>
      <c r="L21" s="32"/>
      <c r="M21" s="32"/>
    </row>
    <row r="22" spans="2:13" x14ac:dyDescent="0.25">
      <c r="B22" s="32"/>
      <c r="C22" s="32"/>
      <c r="D22" s="32"/>
      <c r="E22" s="32"/>
      <c r="F22" s="32"/>
      <c r="G22" s="32"/>
      <c r="H22" s="32"/>
      <c r="I22" s="32"/>
      <c r="J22" s="32"/>
      <c r="K22" s="32"/>
      <c r="L22" s="32"/>
      <c r="M22" s="32"/>
    </row>
    <row r="23" spans="2:13" x14ac:dyDescent="0.25">
      <c r="B23" s="32"/>
      <c r="C23" s="32"/>
      <c r="D23" s="32"/>
      <c r="E23" s="32"/>
      <c r="F23" s="32"/>
      <c r="G23" s="32"/>
      <c r="H23" s="32"/>
      <c r="I23" s="32"/>
      <c r="J23" s="32"/>
      <c r="K23" s="32"/>
      <c r="L23" s="32"/>
      <c r="M23" s="32"/>
    </row>
    <row r="24" spans="2:13" x14ac:dyDescent="0.25">
      <c r="B24" s="32"/>
      <c r="C24" s="32"/>
      <c r="D24" s="32"/>
      <c r="E24" s="32"/>
      <c r="F24" s="32"/>
      <c r="G24" s="32"/>
      <c r="H24" s="32"/>
      <c r="I24" s="32"/>
      <c r="J24" s="32"/>
      <c r="K24" s="32"/>
      <c r="L24" s="32"/>
      <c r="M24" s="32"/>
    </row>
    <row r="25" spans="2:13" x14ac:dyDescent="0.25">
      <c r="B25" s="32"/>
      <c r="C25" s="32"/>
      <c r="D25" s="32"/>
      <c r="E25" s="32"/>
      <c r="F25" s="32"/>
      <c r="G25" s="32"/>
      <c r="H25" s="32"/>
      <c r="I25" s="32"/>
      <c r="J25" s="32"/>
      <c r="K25" s="32"/>
      <c r="L25" s="32"/>
      <c r="M25" s="32"/>
    </row>
    <row r="26" spans="2:13" x14ac:dyDescent="0.25">
      <c r="B26" s="32"/>
      <c r="C26" s="32"/>
      <c r="D26" s="32"/>
      <c r="E26" s="32"/>
      <c r="F26" s="32"/>
      <c r="G26" s="32"/>
      <c r="H26" s="32"/>
      <c r="I26" s="32"/>
      <c r="J26" s="32"/>
      <c r="K26" s="32"/>
      <c r="L26" s="32"/>
      <c r="M26" s="32"/>
    </row>
    <row r="27" spans="2:13" x14ac:dyDescent="0.25">
      <c r="B27" s="32"/>
      <c r="C27" s="32"/>
      <c r="D27" s="32"/>
      <c r="E27" s="32"/>
      <c r="F27" s="32"/>
      <c r="G27" s="32"/>
      <c r="H27" s="32"/>
      <c r="I27" s="32"/>
      <c r="J27" s="32"/>
      <c r="K27" s="32"/>
      <c r="L27" s="32"/>
      <c r="M27" s="32"/>
    </row>
    <row r="28" spans="2:13" x14ac:dyDescent="0.25">
      <c r="B28" s="32"/>
      <c r="C28" s="32"/>
      <c r="D28" s="32"/>
      <c r="E28" s="32"/>
      <c r="F28" s="32"/>
      <c r="G28" s="32"/>
      <c r="H28" s="32"/>
      <c r="I28" s="32"/>
      <c r="J28" s="32"/>
      <c r="K28" s="32"/>
      <c r="L28" s="32"/>
      <c r="M28" s="32"/>
    </row>
    <row r="29" spans="2:13" x14ac:dyDescent="0.25">
      <c r="B29" s="32"/>
      <c r="C29" s="32"/>
      <c r="D29" s="32"/>
      <c r="E29" s="32"/>
      <c r="F29" s="32"/>
      <c r="G29" s="32"/>
      <c r="H29" s="32"/>
      <c r="I29" s="32"/>
      <c r="J29" s="32"/>
      <c r="K29" s="32"/>
      <c r="L29" s="32"/>
      <c r="M29" s="32"/>
    </row>
    <row r="30" spans="2:13" x14ac:dyDescent="0.25">
      <c r="B30" s="32"/>
      <c r="C30" s="32"/>
      <c r="D30" s="32"/>
      <c r="E30" s="32"/>
      <c r="F30" s="32"/>
      <c r="G30" s="32"/>
      <c r="H30" s="32"/>
      <c r="I30" s="32"/>
      <c r="J30" s="32"/>
      <c r="K30" s="32"/>
      <c r="L30" s="32"/>
      <c r="M30" s="32"/>
    </row>
    <row r="31" spans="2:13" x14ac:dyDescent="0.25">
      <c r="B31" s="32"/>
      <c r="C31" s="32"/>
      <c r="D31" s="32"/>
      <c r="E31" s="32"/>
      <c r="F31" s="32"/>
      <c r="G31" s="32"/>
      <c r="H31" s="32"/>
      <c r="I31" s="32"/>
      <c r="J31" s="32"/>
      <c r="K31" s="32"/>
      <c r="L31" s="32"/>
      <c r="M31" s="32"/>
    </row>
    <row r="32" spans="2:13" x14ac:dyDescent="0.25">
      <c r="B32" s="32"/>
      <c r="C32" s="32"/>
      <c r="D32" s="32"/>
      <c r="E32" s="32"/>
      <c r="F32" s="32"/>
      <c r="G32" s="32"/>
      <c r="H32" s="32"/>
      <c r="I32" s="32"/>
      <c r="J32" s="32"/>
      <c r="K32" s="32"/>
      <c r="L32" s="32"/>
      <c r="M32" s="32"/>
    </row>
    <row r="33" spans="2:13" x14ac:dyDescent="0.25">
      <c r="B33" s="32"/>
      <c r="C33" s="32"/>
      <c r="D33" s="32"/>
      <c r="E33" s="32"/>
      <c r="F33" s="32"/>
      <c r="G33" s="32"/>
      <c r="H33" s="32"/>
      <c r="I33" s="32"/>
      <c r="J33" s="32"/>
      <c r="K33" s="32"/>
      <c r="L33" s="32"/>
      <c r="M33" s="32"/>
    </row>
    <row r="34" spans="2:13" x14ac:dyDescent="0.25">
      <c r="B34" s="32"/>
      <c r="C34" s="32"/>
      <c r="D34" s="32"/>
      <c r="E34" s="32"/>
      <c r="F34" s="32"/>
      <c r="G34" s="32"/>
      <c r="H34" s="32"/>
      <c r="I34" s="32"/>
      <c r="J34" s="32"/>
      <c r="K34" s="32"/>
      <c r="L34" s="32"/>
      <c r="M34" s="32"/>
    </row>
    <row r="35" spans="2:13" x14ac:dyDescent="0.25">
      <c r="B35" s="32"/>
      <c r="C35" s="32"/>
      <c r="D35" s="32"/>
      <c r="E35" s="32"/>
      <c r="F35" s="32"/>
      <c r="G35" s="32"/>
      <c r="H35" s="32"/>
      <c r="I35" s="32"/>
      <c r="J35" s="32"/>
      <c r="K35" s="32"/>
      <c r="L35" s="32"/>
      <c r="M35" s="32"/>
    </row>
    <row r="36" spans="2:13" x14ac:dyDescent="0.25">
      <c r="B36" s="32"/>
      <c r="C36" s="32"/>
      <c r="D36" s="32"/>
      <c r="E36" s="32"/>
      <c r="F36" s="32"/>
      <c r="G36" s="32"/>
      <c r="H36" s="32"/>
      <c r="I36" s="32"/>
      <c r="J36" s="32"/>
      <c r="K36" s="32"/>
      <c r="L36" s="32"/>
      <c r="M36" s="32"/>
    </row>
    <row r="37" spans="2:13" x14ac:dyDescent="0.25">
      <c r="B37" s="32"/>
      <c r="C37" s="32"/>
      <c r="D37" s="32"/>
      <c r="E37" s="32"/>
      <c r="F37" s="32"/>
      <c r="G37" s="32"/>
      <c r="H37" s="32"/>
      <c r="I37" s="32"/>
      <c r="J37" s="32"/>
      <c r="K37" s="32"/>
      <c r="L37" s="32"/>
      <c r="M37" s="32"/>
    </row>
    <row r="38" spans="2:13" x14ac:dyDescent="0.25">
      <c r="B38" s="32"/>
      <c r="C38" s="32"/>
      <c r="D38" s="32"/>
      <c r="E38" s="32"/>
      <c r="F38" s="32"/>
      <c r="G38" s="32"/>
      <c r="H38" s="32"/>
      <c r="I38" s="32"/>
      <c r="J38" s="32"/>
      <c r="K38" s="32"/>
      <c r="L38" s="32"/>
      <c r="M38" s="32"/>
    </row>
    <row r="39" spans="2:13" x14ac:dyDescent="0.25">
      <c r="B39" s="32"/>
      <c r="C39" s="32"/>
      <c r="D39" s="32"/>
      <c r="E39" s="32"/>
      <c r="F39" s="32"/>
      <c r="G39" s="32"/>
      <c r="H39" s="32"/>
      <c r="I39" s="32"/>
      <c r="J39" s="32"/>
      <c r="K39" s="32"/>
      <c r="L39" s="32"/>
      <c r="M39" s="32"/>
    </row>
    <row r="40" spans="2:13" x14ac:dyDescent="0.25">
      <c r="B40" s="32"/>
      <c r="C40" s="32"/>
      <c r="D40" s="32"/>
      <c r="E40" s="32"/>
      <c r="F40" s="32"/>
      <c r="G40" s="32"/>
      <c r="H40" s="32"/>
      <c r="I40" s="32"/>
      <c r="J40" s="32"/>
      <c r="K40" s="32"/>
      <c r="L40" s="32"/>
      <c r="M40" s="32"/>
    </row>
    <row r="41" spans="2:13" x14ac:dyDescent="0.25">
      <c r="B41" s="32"/>
      <c r="C41" s="32"/>
      <c r="D41" s="32"/>
      <c r="E41" s="32"/>
      <c r="F41" s="32"/>
      <c r="G41" s="32"/>
      <c r="H41" s="32"/>
      <c r="I41" s="32"/>
      <c r="J41" s="32"/>
      <c r="K41" s="32"/>
      <c r="L41" s="32"/>
      <c r="M41" s="32"/>
    </row>
    <row r="42" spans="2:13" x14ac:dyDescent="0.25">
      <c r="B42" s="32"/>
      <c r="C42" s="32"/>
      <c r="D42" s="32"/>
      <c r="E42" s="32"/>
      <c r="F42" s="32"/>
      <c r="G42" s="32"/>
      <c r="H42" s="32"/>
      <c r="I42" s="32"/>
      <c r="J42" s="32"/>
      <c r="K42" s="32"/>
      <c r="L42" s="32"/>
      <c r="M42" s="32"/>
    </row>
    <row r="43" spans="2:13" x14ac:dyDescent="0.25">
      <c r="B43" s="32"/>
      <c r="C43" s="32"/>
      <c r="D43" s="32"/>
      <c r="E43" s="32"/>
      <c r="F43" s="32"/>
      <c r="G43" s="32"/>
      <c r="H43" s="32"/>
      <c r="I43" s="32"/>
      <c r="J43" s="32"/>
      <c r="K43" s="32"/>
      <c r="L43" s="32"/>
      <c r="M43" s="32"/>
    </row>
    <row r="44" spans="2:13" x14ac:dyDescent="0.25">
      <c r="B44" s="32"/>
      <c r="C44" s="32"/>
      <c r="D44" s="32"/>
      <c r="E44" s="32"/>
      <c r="F44" s="32"/>
      <c r="G44" s="32"/>
      <c r="H44" s="32"/>
      <c r="I44" s="32"/>
      <c r="J44" s="32"/>
      <c r="K44" s="32"/>
      <c r="L44" s="32"/>
      <c r="M44" s="32"/>
    </row>
    <row r="45" spans="2:13" x14ac:dyDescent="0.25">
      <c r="B45" s="32"/>
      <c r="C45" s="32"/>
      <c r="D45" s="32"/>
      <c r="E45" s="32"/>
      <c r="F45" s="32"/>
      <c r="G45" s="32"/>
      <c r="H45" s="32"/>
      <c r="I45" s="32"/>
      <c r="J45" s="32"/>
      <c r="K45" s="32"/>
      <c r="L45" s="32"/>
      <c r="M45" s="32"/>
    </row>
    <row r="46" spans="2:13" x14ac:dyDescent="0.25">
      <c r="B46" s="32"/>
      <c r="C46" s="32"/>
      <c r="D46" s="32"/>
      <c r="E46" s="32"/>
      <c r="F46" s="32"/>
      <c r="G46" s="32"/>
      <c r="H46" s="32"/>
      <c r="I46" s="32"/>
      <c r="J46" s="32"/>
      <c r="K46" s="32"/>
      <c r="L46" s="32"/>
      <c r="M46" s="32"/>
    </row>
    <row r="47" spans="2:13" x14ac:dyDescent="0.25">
      <c r="B47" s="32"/>
      <c r="C47" s="32"/>
      <c r="D47" s="32"/>
      <c r="E47" s="32"/>
      <c r="F47" s="32"/>
      <c r="G47" s="32"/>
      <c r="H47" s="32"/>
      <c r="I47" s="32"/>
      <c r="J47" s="32"/>
      <c r="K47" s="32"/>
      <c r="L47" s="32"/>
      <c r="M47" s="32"/>
    </row>
    <row r="48" spans="2:13" x14ac:dyDescent="0.25">
      <c r="B48" s="32"/>
      <c r="C48" s="32"/>
      <c r="D48" s="32"/>
      <c r="E48" s="32"/>
      <c r="F48" s="32"/>
      <c r="G48" s="32"/>
      <c r="H48" s="32"/>
      <c r="I48" s="32"/>
      <c r="J48" s="32"/>
      <c r="K48" s="32"/>
      <c r="L48" s="32"/>
      <c r="M48" s="32"/>
    </row>
    <row r="49" spans="2:13" x14ac:dyDescent="0.25">
      <c r="B49" s="32"/>
      <c r="C49" s="32"/>
      <c r="D49" s="32"/>
      <c r="E49" s="32"/>
      <c r="F49" s="32"/>
      <c r="G49" s="32"/>
      <c r="H49" s="32"/>
      <c r="I49" s="32"/>
      <c r="J49" s="32"/>
      <c r="K49" s="32"/>
      <c r="L49" s="32"/>
      <c r="M49" s="32"/>
    </row>
    <row r="50" spans="2:13" x14ac:dyDescent="0.25">
      <c r="B50" s="32"/>
      <c r="C50" s="32"/>
      <c r="D50" s="32"/>
      <c r="E50" s="32"/>
      <c r="F50" s="32"/>
      <c r="G50" s="32"/>
      <c r="H50" s="32"/>
      <c r="I50" s="32"/>
      <c r="J50" s="32"/>
      <c r="K50" s="32"/>
      <c r="L50" s="32"/>
      <c r="M50" s="32"/>
    </row>
    <row r="51" spans="2:13" x14ac:dyDescent="0.25">
      <c r="B51" s="32"/>
      <c r="C51" s="32"/>
      <c r="D51" s="32"/>
      <c r="E51" s="32"/>
      <c r="F51" s="32"/>
      <c r="G51" s="32"/>
      <c r="H51" s="32"/>
      <c r="I51" s="32"/>
      <c r="J51" s="32"/>
      <c r="K51" s="32"/>
      <c r="L51" s="32"/>
      <c r="M51" s="32"/>
    </row>
    <row r="52" spans="2:13" x14ac:dyDescent="0.25">
      <c r="B52" s="32"/>
      <c r="C52" s="32"/>
      <c r="D52" s="32"/>
      <c r="E52" s="32"/>
      <c r="F52" s="32"/>
      <c r="G52" s="32"/>
      <c r="H52" s="32"/>
      <c r="I52" s="32"/>
      <c r="J52" s="32"/>
      <c r="K52" s="32"/>
      <c r="L52" s="32"/>
      <c r="M52" s="32"/>
    </row>
    <row r="53" spans="2:13" x14ac:dyDescent="0.25">
      <c r="B53" s="32"/>
      <c r="C53" s="32"/>
      <c r="D53" s="32"/>
      <c r="E53" s="32"/>
      <c r="F53" s="32"/>
      <c r="G53" s="32"/>
      <c r="H53" s="32"/>
      <c r="I53" s="32"/>
      <c r="J53" s="32"/>
      <c r="K53" s="32"/>
      <c r="L53" s="32"/>
      <c r="M53" s="32"/>
    </row>
    <row r="54" spans="2:13" x14ac:dyDescent="0.25">
      <c r="B54" s="32"/>
      <c r="C54" s="32"/>
      <c r="D54" s="32"/>
      <c r="E54" s="32"/>
      <c r="F54" s="32"/>
      <c r="G54" s="32"/>
      <c r="H54" s="32"/>
      <c r="I54" s="32"/>
      <c r="J54" s="32"/>
      <c r="K54" s="32"/>
      <c r="L54" s="32"/>
      <c r="M54" s="32"/>
    </row>
    <row r="55" spans="2:13" x14ac:dyDescent="0.25">
      <c r="B55" s="32"/>
      <c r="C55" s="32"/>
      <c r="D55" s="32"/>
      <c r="E55" s="32"/>
      <c r="F55" s="32"/>
      <c r="G55" s="32"/>
      <c r="H55" s="32"/>
      <c r="I55" s="32"/>
      <c r="J55" s="32"/>
      <c r="K55" s="32"/>
      <c r="L55" s="32"/>
      <c r="M55" s="32"/>
    </row>
    <row r="56" spans="2:13" x14ac:dyDescent="0.25">
      <c r="B56" s="32"/>
      <c r="C56" s="32"/>
      <c r="D56" s="32"/>
      <c r="E56" s="32"/>
      <c r="F56" s="32"/>
      <c r="G56" s="32"/>
      <c r="H56" s="32"/>
      <c r="I56" s="32"/>
      <c r="J56" s="32"/>
      <c r="K56" s="32"/>
      <c r="L56" s="32"/>
      <c r="M56" s="32"/>
    </row>
    <row r="57" spans="2:13" x14ac:dyDescent="0.25">
      <c r="B57" s="32"/>
      <c r="C57" s="32"/>
      <c r="D57" s="32"/>
      <c r="E57" s="32"/>
      <c r="F57" s="32"/>
      <c r="G57" s="32"/>
      <c r="H57" s="32"/>
      <c r="I57" s="32"/>
      <c r="J57" s="32"/>
      <c r="K57" s="32"/>
      <c r="L57" s="32"/>
      <c r="M57" s="32"/>
    </row>
    <row r="58" spans="2:13" x14ac:dyDescent="0.25">
      <c r="B58" s="32"/>
      <c r="C58" s="32"/>
      <c r="D58" s="32"/>
      <c r="E58" s="32"/>
      <c r="F58" s="32"/>
      <c r="G58" s="32"/>
      <c r="H58" s="32"/>
      <c r="I58" s="32"/>
      <c r="J58" s="32"/>
      <c r="K58" s="32"/>
      <c r="L58" s="32"/>
      <c r="M58" s="32"/>
    </row>
    <row r="59" spans="2:13" x14ac:dyDescent="0.25">
      <c r="B59" s="32"/>
      <c r="C59" s="32"/>
      <c r="D59" s="32"/>
      <c r="E59" s="32"/>
      <c r="F59" s="32"/>
      <c r="G59" s="32"/>
      <c r="H59" s="32"/>
      <c r="I59" s="32"/>
      <c r="J59" s="32"/>
      <c r="K59" s="32"/>
      <c r="L59" s="32"/>
      <c r="M59" s="32"/>
    </row>
    <row r="60" spans="2:13" x14ac:dyDescent="0.25">
      <c r="B60" s="32"/>
      <c r="C60" s="32"/>
      <c r="D60" s="32"/>
      <c r="E60" s="32"/>
      <c r="F60" s="32"/>
      <c r="G60" s="32"/>
      <c r="H60" s="32"/>
      <c r="I60" s="32"/>
      <c r="J60" s="32"/>
      <c r="K60" s="32"/>
      <c r="L60" s="32"/>
      <c r="M60" s="32"/>
    </row>
    <row r="61" spans="2:13" x14ac:dyDescent="0.25">
      <c r="B61" s="32"/>
      <c r="C61" s="32"/>
      <c r="D61" s="32"/>
      <c r="E61" s="32"/>
      <c r="F61" s="32"/>
      <c r="G61" s="32"/>
      <c r="H61" s="32"/>
      <c r="I61" s="32"/>
      <c r="J61" s="32"/>
      <c r="K61" s="32"/>
      <c r="L61" s="32"/>
      <c r="M61" s="32"/>
    </row>
    <row r="62" spans="2:13" x14ac:dyDescent="0.25">
      <c r="B62" s="32"/>
      <c r="C62" s="32"/>
      <c r="D62" s="32"/>
      <c r="E62" s="32"/>
      <c r="F62" s="32"/>
      <c r="G62" s="32"/>
      <c r="H62" s="32"/>
      <c r="I62" s="32"/>
      <c r="J62" s="32"/>
      <c r="K62" s="32"/>
      <c r="L62" s="32"/>
      <c r="M62" s="32"/>
    </row>
    <row r="63" spans="2:13" x14ac:dyDescent="0.25">
      <c r="B63" s="32"/>
      <c r="C63" s="32"/>
      <c r="D63" s="32"/>
      <c r="E63" s="32"/>
      <c r="F63" s="32"/>
      <c r="G63" s="32"/>
      <c r="H63" s="32"/>
      <c r="I63" s="32"/>
      <c r="J63" s="32"/>
      <c r="K63" s="32"/>
      <c r="L63" s="32"/>
      <c r="M63" s="32"/>
    </row>
    <row r="64" spans="2:13" x14ac:dyDescent="0.25">
      <c r="B64" s="32"/>
      <c r="C64" s="32"/>
      <c r="D64" s="32"/>
      <c r="E64" s="32"/>
      <c r="F64" s="32"/>
      <c r="G64" s="32"/>
      <c r="H64" s="32"/>
      <c r="I64" s="32"/>
      <c r="J64" s="32"/>
      <c r="K64" s="32"/>
      <c r="L64" s="32"/>
      <c r="M64" s="32"/>
    </row>
    <row r="65" spans="2:13" x14ac:dyDescent="0.25">
      <c r="B65" s="32"/>
      <c r="C65" s="32"/>
      <c r="D65" s="32"/>
      <c r="E65" s="32"/>
      <c r="F65" s="32"/>
      <c r="G65" s="32"/>
      <c r="H65" s="32"/>
      <c r="I65" s="32"/>
      <c r="J65" s="32"/>
      <c r="K65" s="32"/>
      <c r="L65" s="32"/>
      <c r="M65" s="32"/>
    </row>
    <row r="66" spans="2:13" x14ac:dyDescent="0.25">
      <c r="B66" s="32"/>
      <c r="C66" s="32"/>
      <c r="D66" s="32"/>
      <c r="E66" s="32"/>
      <c r="F66" s="32"/>
      <c r="G66" s="32"/>
      <c r="H66" s="32"/>
      <c r="I66" s="32"/>
      <c r="J66" s="32"/>
      <c r="K66" s="32"/>
      <c r="L66" s="32"/>
      <c r="M66" s="32"/>
    </row>
    <row r="67" spans="2:13" x14ac:dyDescent="0.25">
      <c r="B67" s="32"/>
      <c r="C67" s="32"/>
      <c r="D67" s="32"/>
      <c r="E67" s="32"/>
      <c r="F67" s="32"/>
      <c r="G67" s="32"/>
      <c r="H67" s="32"/>
      <c r="I67" s="32"/>
      <c r="J67" s="32"/>
      <c r="K67" s="32"/>
      <c r="L67" s="32"/>
      <c r="M67" s="32"/>
    </row>
    <row r="68" spans="2:13" x14ac:dyDescent="0.25">
      <c r="B68" s="32"/>
      <c r="C68" s="32"/>
      <c r="D68" s="32"/>
      <c r="E68" s="32"/>
      <c r="F68" s="32"/>
      <c r="G68" s="32"/>
      <c r="H68" s="32"/>
      <c r="I68" s="32"/>
      <c r="J68" s="32"/>
      <c r="K68" s="32"/>
      <c r="L68" s="32"/>
      <c r="M68" s="32"/>
    </row>
    <row r="69" spans="2:13" x14ac:dyDescent="0.25">
      <c r="B69" s="32"/>
      <c r="C69" s="32"/>
      <c r="D69" s="32"/>
      <c r="E69" s="32"/>
      <c r="F69" s="32"/>
      <c r="G69" s="32"/>
      <c r="H69" s="32"/>
      <c r="I69" s="32"/>
      <c r="J69" s="32"/>
      <c r="K69" s="32"/>
      <c r="L69" s="32"/>
      <c r="M69" s="32"/>
    </row>
    <row r="70" spans="2:13" x14ac:dyDescent="0.25">
      <c r="B70" s="32"/>
      <c r="C70" s="32"/>
      <c r="D70" s="32"/>
      <c r="E70" s="32"/>
      <c r="F70" s="32"/>
      <c r="G70" s="32"/>
      <c r="H70" s="32"/>
      <c r="I70" s="32"/>
      <c r="J70" s="32"/>
      <c r="K70" s="32"/>
      <c r="L70" s="32"/>
      <c r="M70" s="32"/>
    </row>
    <row r="71" spans="2:13" x14ac:dyDescent="0.25">
      <c r="B71" s="32"/>
      <c r="C71" s="32"/>
      <c r="D71" s="32"/>
      <c r="E71" s="32"/>
      <c r="F71" s="32"/>
      <c r="G71" s="32"/>
      <c r="H71" s="32"/>
      <c r="I71" s="32"/>
      <c r="J71" s="32"/>
      <c r="K71" s="32"/>
      <c r="L71" s="32"/>
      <c r="M71" s="32"/>
    </row>
    <row r="72" spans="2:13" x14ac:dyDescent="0.25">
      <c r="B72" s="32"/>
      <c r="C72" s="32"/>
      <c r="D72" s="32"/>
      <c r="E72" s="32"/>
      <c r="F72" s="32"/>
      <c r="G72" s="32"/>
      <c r="H72" s="32"/>
      <c r="I72" s="32"/>
      <c r="J72" s="32"/>
      <c r="K72" s="32"/>
      <c r="L72" s="32"/>
      <c r="M72" s="32"/>
    </row>
    <row r="73" spans="2:13" x14ac:dyDescent="0.25">
      <c r="B73" s="32"/>
      <c r="C73" s="32"/>
      <c r="D73" s="32"/>
      <c r="E73" s="32"/>
      <c r="F73" s="32"/>
      <c r="G73" s="32"/>
      <c r="H73" s="32"/>
      <c r="I73" s="32"/>
      <c r="J73" s="32"/>
      <c r="K73" s="32"/>
      <c r="L73" s="32"/>
      <c r="M73" s="32"/>
    </row>
    <row r="74" spans="2:13" x14ac:dyDescent="0.25">
      <c r="B74" s="32"/>
      <c r="C74" s="32"/>
      <c r="D74" s="32"/>
      <c r="E74" s="32"/>
      <c r="F74" s="32"/>
      <c r="G74" s="32"/>
      <c r="H74" s="32"/>
      <c r="I74" s="32"/>
      <c r="J74" s="32"/>
      <c r="K74" s="32"/>
      <c r="L74" s="32"/>
      <c r="M74" s="32"/>
    </row>
    <row r="75" spans="2:13" x14ac:dyDescent="0.25">
      <c r="B75" s="32"/>
      <c r="C75" s="32"/>
      <c r="D75" s="32"/>
      <c r="E75" s="32"/>
      <c r="F75" s="32"/>
      <c r="G75" s="32"/>
      <c r="H75" s="32"/>
      <c r="I75" s="32"/>
      <c r="J75" s="32"/>
      <c r="K75" s="32"/>
      <c r="L75" s="32"/>
      <c r="M75" s="32"/>
    </row>
    <row r="76" spans="2:13" x14ac:dyDescent="0.25">
      <c r="B76" s="32"/>
      <c r="C76" s="32"/>
      <c r="D76" s="32"/>
      <c r="E76" s="32"/>
      <c r="F76" s="32"/>
      <c r="G76" s="32"/>
      <c r="H76" s="32"/>
      <c r="I76" s="32"/>
      <c r="J76" s="32"/>
      <c r="K76" s="32"/>
      <c r="L76" s="32"/>
      <c r="M76" s="32"/>
    </row>
    <row r="77" spans="2:13" x14ac:dyDescent="0.25">
      <c r="B77" s="32"/>
      <c r="C77" s="32"/>
      <c r="D77" s="32"/>
      <c r="E77" s="32"/>
      <c r="F77" s="32"/>
      <c r="G77" s="32"/>
      <c r="H77" s="32"/>
      <c r="I77" s="32"/>
      <c r="J77" s="32"/>
      <c r="K77" s="32"/>
      <c r="L77" s="32"/>
      <c r="M77" s="32"/>
    </row>
    <row r="78" spans="2:13" x14ac:dyDescent="0.25">
      <c r="B78" s="32"/>
      <c r="C78" s="32"/>
      <c r="D78" s="32"/>
      <c r="E78" s="32"/>
      <c r="F78" s="32"/>
      <c r="G78" s="32"/>
      <c r="H78" s="32"/>
      <c r="I78" s="32"/>
      <c r="J78" s="32"/>
      <c r="K78" s="32"/>
      <c r="L78" s="32"/>
      <c r="M78" s="32"/>
    </row>
    <row r="79" spans="2:13" x14ac:dyDescent="0.25">
      <c r="B79" s="32"/>
      <c r="C79" s="32"/>
      <c r="D79" s="32"/>
      <c r="E79" s="32"/>
      <c r="F79" s="32"/>
      <c r="G79" s="32"/>
      <c r="H79" s="32"/>
      <c r="I79" s="32"/>
      <c r="J79" s="32"/>
      <c r="K79" s="32"/>
      <c r="L79" s="32"/>
      <c r="M79" s="32"/>
    </row>
    <row r="80" spans="2:13" x14ac:dyDescent="0.25">
      <c r="B80" s="32"/>
      <c r="C80" s="32"/>
      <c r="D80" s="32"/>
      <c r="E80" s="32"/>
      <c r="F80" s="32"/>
      <c r="G80" s="32"/>
      <c r="H80" s="32"/>
      <c r="I80" s="32"/>
      <c r="J80" s="32"/>
      <c r="K80" s="32"/>
      <c r="L80" s="32"/>
      <c r="M80" s="32"/>
    </row>
    <row r="81" spans="2:13" x14ac:dyDescent="0.25">
      <c r="B81" s="32"/>
      <c r="C81" s="32"/>
      <c r="D81" s="32"/>
      <c r="E81" s="32"/>
      <c r="F81" s="32"/>
      <c r="G81" s="32"/>
      <c r="H81" s="32"/>
      <c r="I81" s="32"/>
      <c r="J81" s="32"/>
      <c r="K81" s="32"/>
      <c r="L81" s="32"/>
      <c r="M81" s="32"/>
    </row>
    <row r="82" spans="2:13" x14ac:dyDescent="0.25">
      <c r="B82" s="32"/>
      <c r="C82" s="32"/>
      <c r="D82" s="32"/>
      <c r="E82" s="32"/>
      <c r="F82" s="32"/>
      <c r="G82" s="32"/>
      <c r="H82" s="32"/>
      <c r="I82" s="32"/>
      <c r="J82" s="32"/>
      <c r="K82" s="32"/>
      <c r="L82" s="32"/>
      <c r="M82" s="32"/>
    </row>
    <row r="83" spans="2:13" x14ac:dyDescent="0.25">
      <c r="B83" s="32"/>
      <c r="C83" s="32"/>
      <c r="D83" s="32"/>
      <c r="E83" s="32"/>
      <c r="F83" s="32"/>
      <c r="G83" s="32"/>
      <c r="H83" s="32"/>
      <c r="I83" s="32"/>
      <c r="J83" s="32"/>
      <c r="K83" s="32"/>
      <c r="L83" s="32"/>
      <c r="M83" s="32"/>
    </row>
    <row r="84" spans="2:13" x14ac:dyDescent="0.25">
      <c r="B84" s="32"/>
      <c r="C84" s="32"/>
      <c r="D84" s="32"/>
      <c r="E84" s="32"/>
      <c r="F84" s="32"/>
      <c r="G84" s="32"/>
      <c r="H84" s="32"/>
      <c r="I84" s="32"/>
      <c r="J84" s="32"/>
      <c r="K84" s="32"/>
      <c r="L84" s="32"/>
      <c r="M84" s="32"/>
    </row>
    <row r="85" spans="2:13" x14ac:dyDescent="0.25">
      <c r="B85" s="32"/>
      <c r="C85" s="32"/>
      <c r="D85" s="32"/>
      <c r="E85" s="32"/>
      <c r="F85" s="32"/>
      <c r="G85" s="32"/>
      <c r="H85" s="32"/>
      <c r="I85" s="32"/>
      <c r="J85" s="32"/>
      <c r="K85" s="32"/>
      <c r="L85" s="32"/>
      <c r="M85" s="32"/>
    </row>
    <row r="86" spans="2:13" x14ac:dyDescent="0.25">
      <c r="B86" s="32"/>
      <c r="C86" s="32"/>
      <c r="D86" s="32"/>
      <c r="E86" s="32"/>
      <c r="F86" s="32"/>
      <c r="G86" s="32"/>
      <c r="H86" s="32"/>
      <c r="I86" s="32"/>
      <c r="J86" s="32"/>
      <c r="K86" s="32"/>
      <c r="L86" s="32"/>
      <c r="M86" s="32"/>
    </row>
    <row r="87" spans="2:13" x14ac:dyDescent="0.25">
      <c r="B87" s="32"/>
      <c r="C87" s="32"/>
      <c r="D87" s="32"/>
      <c r="E87" s="32"/>
      <c r="F87" s="32"/>
      <c r="G87" s="32"/>
      <c r="H87" s="32"/>
      <c r="I87" s="32"/>
      <c r="J87" s="32"/>
      <c r="K87" s="32"/>
      <c r="L87" s="32"/>
      <c r="M87" s="32"/>
    </row>
    <row r="88" spans="2:13" x14ac:dyDescent="0.25">
      <c r="B88" s="32"/>
      <c r="C88" s="32"/>
      <c r="D88" s="32"/>
      <c r="E88" s="32"/>
      <c r="F88" s="32"/>
      <c r="G88" s="32"/>
      <c r="H88" s="32"/>
      <c r="I88" s="32"/>
      <c r="J88" s="32"/>
      <c r="K88" s="32"/>
      <c r="L88" s="32"/>
      <c r="M88" s="32"/>
    </row>
    <row r="89" spans="2:13" x14ac:dyDescent="0.25">
      <c r="B89" s="32"/>
      <c r="C89" s="32"/>
      <c r="D89" s="32"/>
      <c r="E89" s="32"/>
      <c r="F89" s="32"/>
      <c r="G89" s="32"/>
      <c r="H89" s="32"/>
      <c r="I89" s="32"/>
      <c r="J89" s="32"/>
      <c r="K89" s="32"/>
      <c r="L89" s="32"/>
      <c r="M89" s="32"/>
    </row>
    <row r="90" spans="2:13" x14ac:dyDescent="0.25">
      <c r="B90" s="32"/>
      <c r="C90" s="32"/>
      <c r="D90" s="32"/>
      <c r="E90" s="32"/>
      <c r="F90" s="32"/>
      <c r="G90" s="32"/>
      <c r="H90" s="32"/>
      <c r="I90" s="32"/>
      <c r="J90" s="32"/>
      <c r="K90" s="32"/>
      <c r="L90" s="32"/>
      <c r="M90" s="32"/>
    </row>
    <row r="91" spans="2:13" x14ac:dyDescent="0.25">
      <c r="B91" s="32"/>
      <c r="C91" s="32"/>
      <c r="D91" s="32"/>
      <c r="E91" s="32"/>
      <c r="F91" s="32"/>
      <c r="G91" s="32"/>
      <c r="H91" s="32"/>
      <c r="I91" s="32"/>
      <c r="J91" s="32"/>
      <c r="K91" s="32"/>
      <c r="L91" s="32"/>
      <c r="M91" s="32"/>
    </row>
    <row r="92" spans="2:13" x14ac:dyDescent="0.25">
      <c r="B92" s="32"/>
      <c r="C92" s="32"/>
      <c r="D92" s="32"/>
      <c r="E92" s="32"/>
      <c r="F92" s="32"/>
      <c r="G92" s="32"/>
      <c r="H92" s="32"/>
      <c r="I92" s="32"/>
      <c r="J92" s="32"/>
      <c r="K92" s="32"/>
      <c r="L92" s="32"/>
      <c r="M92" s="32"/>
    </row>
    <row r="93" spans="2:13" x14ac:dyDescent="0.25">
      <c r="B93" s="32"/>
      <c r="C93" s="32"/>
      <c r="D93" s="32"/>
      <c r="E93" s="32"/>
      <c r="F93" s="32"/>
      <c r="G93" s="32"/>
      <c r="H93" s="32"/>
      <c r="I93" s="32"/>
      <c r="J93" s="32"/>
      <c r="K93" s="32"/>
      <c r="L93" s="32"/>
      <c r="M93" s="32"/>
    </row>
    <row r="94" spans="2:13" x14ac:dyDescent="0.25">
      <c r="B94" s="32"/>
      <c r="C94" s="32"/>
      <c r="D94" s="32"/>
      <c r="E94" s="32"/>
      <c r="F94" s="32"/>
      <c r="G94" s="32"/>
      <c r="H94" s="32"/>
      <c r="I94" s="32"/>
      <c r="J94" s="32"/>
      <c r="K94" s="32"/>
      <c r="L94" s="32"/>
      <c r="M94" s="32"/>
    </row>
    <row r="95" spans="2:13" x14ac:dyDescent="0.25">
      <c r="B95" s="32"/>
      <c r="C95" s="32"/>
      <c r="D95" s="32"/>
      <c r="E95" s="32"/>
      <c r="F95" s="32"/>
      <c r="G95" s="32"/>
      <c r="H95" s="32"/>
      <c r="I95" s="32"/>
      <c r="J95" s="32"/>
      <c r="K95" s="32"/>
      <c r="L95" s="32"/>
      <c r="M95" s="32"/>
    </row>
    <row r="96" spans="2:13" x14ac:dyDescent="0.25">
      <c r="B96" s="32"/>
      <c r="C96" s="32"/>
      <c r="D96" s="32"/>
      <c r="E96" s="32"/>
      <c r="F96" s="32"/>
      <c r="G96" s="32"/>
      <c r="H96" s="32"/>
      <c r="I96" s="32"/>
      <c r="J96" s="32"/>
      <c r="K96" s="32"/>
      <c r="L96" s="32"/>
      <c r="M96" s="32"/>
    </row>
    <row r="97" spans="2:13" x14ac:dyDescent="0.25">
      <c r="B97" s="32"/>
      <c r="C97" s="32"/>
      <c r="D97" s="32"/>
      <c r="E97" s="32"/>
      <c r="F97" s="32"/>
      <c r="G97" s="32"/>
      <c r="H97" s="32"/>
      <c r="I97" s="32"/>
      <c r="J97" s="32"/>
      <c r="K97" s="32"/>
      <c r="L97" s="32"/>
      <c r="M97" s="32"/>
    </row>
  </sheetData>
  <sheetProtection algorithmName="SHA-512" hashValue="VGGawMOGI1lgenqW/WYDvg+kv4PdB8rLMLSQHYW4U+WH0m320uHqeD9+F+mfiepk4jGfkvDFymxWpqNdTxh7TA==" saltValue="34ssRgY7rIBF8qk5lCtMpg==" spinCount="100000" sheet="1" objects="1" scenarios="1" selectLockedCells="1" selectUnlockedCells="1"/>
  <mergeCells count="8">
    <mergeCell ref="B11:M11"/>
    <mergeCell ref="B12:M12"/>
    <mergeCell ref="B3:AE4"/>
    <mergeCell ref="B6:M6"/>
    <mergeCell ref="B7:M7"/>
    <mergeCell ref="B8:M8"/>
    <mergeCell ref="B9:M9"/>
    <mergeCell ref="B10:M10"/>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FE2D3-DA66-4538-A11F-B6DC94FB3C72}">
  <dimension ref="A3:S133"/>
  <sheetViews>
    <sheetView showRowColHeaders="0" zoomScaleNormal="100" workbookViewId="0">
      <selection activeCell="B48" sqref="B48:M48"/>
    </sheetView>
  </sheetViews>
  <sheetFormatPr defaultColWidth="9.140625" defaultRowHeight="15" x14ac:dyDescent="0.25"/>
  <cols>
    <col min="1" max="2" width="9.140625" style="139"/>
    <col min="3" max="3" width="10.85546875" style="139" customWidth="1"/>
    <col min="4" max="12" width="9.140625" style="139"/>
    <col min="13" max="13" width="11.140625" style="139" customWidth="1"/>
    <col min="14" max="14" width="2" style="139" customWidth="1"/>
    <col min="15" max="16384" width="9.140625" style="139"/>
  </cols>
  <sheetData>
    <row r="3" spans="1:14" ht="12.75" customHeight="1" x14ac:dyDescent="0.25">
      <c r="B3" s="235" t="s">
        <v>145</v>
      </c>
      <c r="C3" s="236"/>
      <c r="D3" s="236"/>
      <c r="E3" s="236"/>
      <c r="F3" s="236"/>
      <c r="G3" s="236"/>
      <c r="H3" s="236"/>
      <c r="I3" s="236"/>
      <c r="J3" s="236"/>
      <c r="K3" s="236"/>
      <c r="L3" s="236"/>
      <c r="M3" s="236"/>
      <c r="N3" s="237"/>
    </row>
    <row r="4" spans="1:14" ht="9.75" customHeight="1" x14ac:dyDescent="0.25">
      <c r="B4" s="235"/>
      <c r="C4" s="236"/>
      <c r="D4" s="236"/>
      <c r="E4" s="236"/>
      <c r="F4" s="236"/>
      <c r="G4" s="236"/>
      <c r="H4" s="236"/>
      <c r="I4" s="236"/>
      <c r="J4" s="236"/>
      <c r="K4" s="236"/>
      <c r="L4" s="236"/>
      <c r="M4" s="236"/>
      <c r="N4" s="237"/>
    </row>
    <row r="5" spans="1:14" ht="15.75" customHeight="1" thickBot="1" x14ac:dyDescent="0.3">
      <c r="B5" s="235"/>
      <c r="C5" s="236"/>
      <c r="D5" s="236"/>
      <c r="E5" s="236"/>
      <c r="F5" s="236"/>
      <c r="G5" s="236"/>
      <c r="H5" s="236"/>
      <c r="I5" s="236"/>
      <c r="J5" s="236"/>
      <c r="K5" s="236"/>
      <c r="L5" s="236"/>
      <c r="M5" s="236"/>
      <c r="N5" s="237"/>
    </row>
    <row r="6" spans="1:14" ht="15.75" thickTop="1" x14ac:dyDescent="0.25">
      <c r="B6" s="122"/>
      <c r="C6" s="123"/>
      <c r="D6" s="123"/>
      <c r="E6" s="123"/>
      <c r="F6" s="123"/>
      <c r="G6" s="123"/>
      <c r="H6" s="123"/>
      <c r="I6" s="123"/>
      <c r="J6" s="123"/>
      <c r="K6" s="123"/>
      <c r="L6" s="123"/>
      <c r="M6" s="123"/>
      <c r="N6" s="138"/>
    </row>
    <row r="7" spans="1:14" x14ac:dyDescent="0.25">
      <c r="A7" s="140"/>
      <c r="B7" s="259" t="s">
        <v>146</v>
      </c>
      <c r="C7" s="260"/>
      <c r="D7" s="260"/>
      <c r="E7" s="260"/>
      <c r="F7" s="260"/>
      <c r="G7" s="260"/>
      <c r="H7" s="260"/>
      <c r="I7" s="260"/>
      <c r="J7" s="260"/>
      <c r="K7" s="260"/>
      <c r="L7" s="260"/>
      <c r="M7" s="260"/>
      <c r="N7" s="121"/>
    </row>
    <row r="8" spans="1:14" x14ac:dyDescent="0.25">
      <c r="B8" s="124"/>
      <c r="C8" s="222"/>
      <c r="D8" s="222"/>
      <c r="E8" s="222"/>
      <c r="F8" s="222"/>
      <c r="G8" s="222"/>
      <c r="H8" s="222"/>
      <c r="I8" s="222"/>
      <c r="J8" s="222"/>
      <c r="K8" s="222"/>
      <c r="L8" s="222"/>
      <c r="M8" s="222"/>
      <c r="N8" s="121"/>
    </row>
    <row r="9" spans="1:14" x14ac:dyDescent="0.25">
      <c r="B9" s="124"/>
      <c r="C9" s="222"/>
      <c r="D9" s="222"/>
      <c r="E9" s="222"/>
      <c r="F9" s="222"/>
      <c r="G9" s="222"/>
      <c r="H9" s="222"/>
      <c r="I9" s="222"/>
      <c r="J9" s="222"/>
      <c r="K9" s="222"/>
      <c r="L9" s="222"/>
      <c r="M9" s="222"/>
      <c r="N9" s="121"/>
    </row>
    <row r="10" spans="1:14" x14ac:dyDescent="0.25">
      <c r="B10" s="124"/>
      <c r="C10" s="222"/>
      <c r="D10" s="222"/>
      <c r="E10" s="222"/>
      <c r="F10" s="222"/>
      <c r="G10" s="222"/>
      <c r="H10" s="222"/>
      <c r="I10" s="222"/>
      <c r="J10" s="222"/>
      <c r="K10" s="222"/>
      <c r="L10" s="222"/>
      <c r="M10" s="222"/>
      <c r="N10" s="121"/>
    </row>
    <row r="11" spans="1:14" x14ac:dyDescent="0.25">
      <c r="B11" s="124"/>
      <c r="C11" s="222"/>
      <c r="D11" s="222"/>
      <c r="E11" s="222"/>
      <c r="F11" s="222"/>
      <c r="G11" s="222"/>
      <c r="H11" s="222"/>
      <c r="I11" s="222"/>
      <c r="J11" s="222"/>
      <c r="K11" s="222"/>
      <c r="L11" s="222"/>
      <c r="M11" s="222"/>
      <c r="N11" s="121"/>
    </row>
    <row r="12" spans="1:14" x14ac:dyDescent="0.25">
      <c r="B12" s="124"/>
      <c r="C12" s="222"/>
      <c r="D12" s="222"/>
      <c r="E12" s="222"/>
      <c r="F12" s="222"/>
      <c r="G12" s="222"/>
      <c r="H12" s="222"/>
      <c r="I12" s="222"/>
      <c r="J12" s="222"/>
      <c r="K12" s="222"/>
      <c r="L12" s="222"/>
      <c r="M12" s="222"/>
      <c r="N12" s="121"/>
    </row>
    <row r="13" spans="1:14" x14ac:dyDescent="0.25">
      <c r="B13" s="124"/>
      <c r="C13" s="222"/>
      <c r="D13" s="222"/>
      <c r="E13" s="222"/>
      <c r="F13" s="222"/>
      <c r="G13" s="222"/>
      <c r="H13" s="222"/>
      <c r="I13" s="222"/>
      <c r="J13" s="222"/>
      <c r="K13" s="222"/>
      <c r="L13" s="222"/>
      <c r="M13" s="222"/>
      <c r="N13" s="121"/>
    </row>
    <row r="14" spans="1:14" x14ac:dyDescent="0.25">
      <c r="B14" s="124"/>
      <c r="C14" s="222"/>
      <c r="D14" s="222"/>
      <c r="E14" s="222"/>
      <c r="F14" s="222"/>
      <c r="G14" s="222"/>
      <c r="H14" s="222"/>
      <c r="I14" s="222"/>
      <c r="J14" s="222"/>
      <c r="K14" s="222"/>
      <c r="L14" s="222"/>
      <c r="M14" s="222"/>
      <c r="N14" s="121"/>
    </row>
    <row r="15" spans="1:14" x14ac:dyDescent="0.25">
      <c r="B15" s="124"/>
      <c r="C15" s="222"/>
      <c r="D15" s="222"/>
      <c r="E15" s="222"/>
      <c r="F15" s="222"/>
      <c r="G15" s="222"/>
      <c r="H15" s="222"/>
      <c r="I15" s="222"/>
      <c r="J15" s="222"/>
      <c r="K15" s="222"/>
      <c r="L15" s="222"/>
      <c r="M15" s="222"/>
      <c r="N15" s="121"/>
    </row>
    <row r="16" spans="1:14" x14ac:dyDescent="0.25">
      <c r="B16" s="124"/>
      <c r="C16" s="222"/>
      <c r="D16" s="222"/>
      <c r="E16" s="222"/>
      <c r="F16" s="222"/>
      <c r="G16" s="222"/>
      <c r="H16" s="222"/>
      <c r="I16" s="222"/>
      <c r="J16" s="222"/>
      <c r="K16" s="222"/>
      <c r="L16" s="222"/>
      <c r="M16" s="222"/>
      <c r="N16" s="121"/>
    </row>
    <row r="17" spans="1:19" x14ac:dyDescent="0.25">
      <c r="B17" s="124"/>
      <c r="C17" s="222"/>
      <c r="D17" s="222"/>
      <c r="E17" s="222"/>
      <c r="F17" s="222"/>
      <c r="G17" s="222"/>
      <c r="H17" s="222"/>
      <c r="I17" s="222"/>
      <c r="J17" s="222"/>
      <c r="K17" s="222"/>
      <c r="L17" s="222"/>
      <c r="M17" s="222"/>
      <c r="N17" s="121"/>
    </row>
    <row r="18" spans="1:19" x14ac:dyDescent="0.25">
      <c r="B18" s="124"/>
      <c r="C18" s="222"/>
      <c r="D18" s="222"/>
      <c r="E18" s="222"/>
      <c r="F18" s="222"/>
      <c r="G18" s="222"/>
      <c r="H18" s="222"/>
      <c r="I18" s="222"/>
      <c r="J18" s="222"/>
      <c r="K18" s="222"/>
      <c r="L18" s="222"/>
      <c r="M18" s="222"/>
      <c r="N18" s="121"/>
    </row>
    <row r="19" spans="1:19" x14ac:dyDescent="0.25">
      <c r="B19" s="124"/>
      <c r="C19" s="222"/>
      <c r="D19" s="222"/>
      <c r="E19" s="222"/>
      <c r="F19" s="222"/>
      <c r="G19" s="222"/>
      <c r="H19" s="222"/>
      <c r="I19" s="222"/>
      <c r="J19" s="222"/>
      <c r="K19" s="222"/>
      <c r="L19" s="222"/>
      <c r="M19" s="222"/>
      <c r="N19" s="121"/>
    </row>
    <row r="20" spans="1:19" ht="18" x14ac:dyDescent="0.25">
      <c r="A20" s="140"/>
      <c r="B20" s="125" t="s">
        <v>266</v>
      </c>
      <c r="C20" s="222"/>
      <c r="D20" s="222"/>
      <c r="E20" s="222"/>
      <c r="F20" s="222"/>
      <c r="G20" s="222"/>
      <c r="H20" s="222"/>
      <c r="I20" s="222"/>
      <c r="J20" s="222"/>
      <c r="K20" s="222"/>
      <c r="L20" s="222"/>
      <c r="M20" s="222"/>
      <c r="N20" s="121"/>
    </row>
    <row r="21" spans="1:19" x14ac:dyDescent="0.25">
      <c r="B21" s="124"/>
      <c r="C21" s="222"/>
      <c r="D21" s="222"/>
      <c r="E21" s="222"/>
      <c r="F21" s="222"/>
      <c r="G21" s="222"/>
      <c r="H21" s="222"/>
      <c r="I21" s="222"/>
      <c r="J21" s="222"/>
      <c r="K21" s="222"/>
      <c r="L21" s="222"/>
      <c r="M21" s="222"/>
      <c r="N21" s="121"/>
    </row>
    <row r="22" spans="1:19" x14ac:dyDescent="0.25">
      <c r="B22" s="124"/>
      <c r="C22" s="130" t="s">
        <v>148</v>
      </c>
      <c r="D22" s="222"/>
      <c r="E22" s="222"/>
      <c r="F22" s="222"/>
      <c r="G22" s="222"/>
      <c r="H22" s="222"/>
      <c r="I22" s="222"/>
      <c r="J22" s="222"/>
      <c r="K22" s="222"/>
      <c r="L22" s="222"/>
      <c r="M22" s="222"/>
      <c r="N22" s="121"/>
    </row>
    <row r="23" spans="1:19" x14ac:dyDescent="0.25">
      <c r="B23" s="124"/>
      <c r="C23" s="223"/>
      <c r="D23" s="224" t="s">
        <v>149</v>
      </c>
      <c r="E23" s="222"/>
      <c r="F23" s="222"/>
      <c r="G23" s="222"/>
      <c r="H23" s="222"/>
      <c r="I23" s="222"/>
      <c r="J23" s="222"/>
      <c r="K23" s="222"/>
      <c r="L23" s="222"/>
      <c r="M23" s="222"/>
      <c r="N23" s="121"/>
    </row>
    <row r="24" spans="1:19" x14ac:dyDescent="0.25">
      <c r="B24" s="124"/>
      <c r="C24" s="225"/>
      <c r="D24" s="224" t="s">
        <v>150</v>
      </c>
      <c r="E24" s="222"/>
      <c r="F24" s="222"/>
      <c r="G24" s="222"/>
      <c r="H24" s="222"/>
      <c r="I24" s="222"/>
      <c r="J24" s="222"/>
      <c r="K24" s="222"/>
      <c r="L24" s="222"/>
      <c r="M24" s="222"/>
      <c r="N24" s="121"/>
    </row>
    <row r="25" spans="1:19" ht="16.5" x14ac:dyDescent="0.3">
      <c r="B25" s="124"/>
      <c r="C25" s="226"/>
      <c r="D25" s="224" t="s">
        <v>151</v>
      </c>
      <c r="E25" s="222"/>
      <c r="F25" s="222"/>
      <c r="G25" s="222"/>
      <c r="H25" s="222"/>
      <c r="I25" s="222"/>
      <c r="J25" s="222"/>
      <c r="K25" s="222"/>
      <c r="L25" s="222"/>
      <c r="M25" s="222"/>
      <c r="N25" s="121"/>
      <c r="S25" s="144"/>
    </row>
    <row r="26" spans="1:19" ht="16.5" x14ac:dyDescent="0.3">
      <c r="B26" s="124"/>
      <c r="C26" s="222"/>
      <c r="D26" s="222"/>
      <c r="E26" s="222"/>
      <c r="F26" s="222"/>
      <c r="G26" s="222"/>
      <c r="H26" s="222"/>
      <c r="I26" s="222"/>
      <c r="J26" s="222"/>
      <c r="K26" s="222"/>
      <c r="L26" s="222"/>
      <c r="M26" s="222"/>
      <c r="N26" s="121"/>
      <c r="S26" s="145"/>
    </row>
    <row r="27" spans="1:19" ht="16.5" x14ac:dyDescent="0.3">
      <c r="A27" s="140"/>
      <c r="B27" s="259" t="s">
        <v>153</v>
      </c>
      <c r="C27" s="260"/>
      <c r="D27" s="260"/>
      <c r="E27" s="260"/>
      <c r="F27" s="260"/>
      <c r="G27" s="260"/>
      <c r="H27" s="260"/>
      <c r="I27" s="260"/>
      <c r="J27" s="260"/>
      <c r="K27" s="260"/>
      <c r="L27" s="260"/>
      <c r="M27" s="260"/>
      <c r="N27" s="121"/>
      <c r="S27" s="144"/>
    </row>
    <row r="28" spans="1:19" ht="9.75" customHeight="1" x14ac:dyDescent="0.3">
      <c r="B28" s="124"/>
      <c r="C28" s="222"/>
      <c r="D28" s="222"/>
      <c r="E28" s="222"/>
      <c r="F28" s="222"/>
      <c r="G28" s="222"/>
      <c r="H28" s="222"/>
      <c r="I28" s="222"/>
      <c r="J28" s="222"/>
      <c r="K28" s="222"/>
      <c r="L28" s="222"/>
      <c r="M28" s="222"/>
      <c r="N28" s="121"/>
      <c r="S28" s="144"/>
    </row>
    <row r="29" spans="1:19" x14ac:dyDescent="0.25">
      <c r="B29" s="124"/>
      <c r="C29" s="222"/>
      <c r="D29" s="222"/>
      <c r="E29" s="222"/>
      <c r="F29" s="222"/>
      <c r="G29" s="222"/>
      <c r="H29" s="222"/>
      <c r="I29" s="222"/>
      <c r="J29" s="222"/>
      <c r="K29" s="222"/>
      <c r="L29" s="222"/>
      <c r="M29" s="222"/>
      <c r="N29" s="121"/>
    </row>
    <row r="30" spans="1:19" x14ac:dyDescent="0.25">
      <c r="B30" s="124"/>
      <c r="C30" s="222"/>
      <c r="D30" s="222"/>
      <c r="E30" s="222"/>
      <c r="F30" s="222"/>
      <c r="G30" s="222"/>
      <c r="H30" s="222"/>
      <c r="I30" s="222"/>
      <c r="J30" s="222"/>
      <c r="K30" s="222"/>
      <c r="L30" s="222"/>
      <c r="M30" s="222"/>
      <c r="N30" s="121"/>
    </row>
    <row r="31" spans="1:19" x14ac:dyDescent="0.25">
      <c r="B31" s="124"/>
      <c r="C31" s="222"/>
      <c r="D31" s="222"/>
      <c r="E31" s="222"/>
      <c r="F31" s="222"/>
      <c r="G31" s="222"/>
      <c r="H31" s="222"/>
      <c r="I31" s="222"/>
      <c r="J31" s="222"/>
      <c r="K31" s="222"/>
      <c r="L31" s="222"/>
      <c r="M31" s="222"/>
      <c r="N31" s="121"/>
    </row>
    <row r="32" spans="1:19" x14ac:dyDescent="0.25">
      <c r="B32" s="124"/>
      <c r="C32" s="222"/>
      <c r="D32" s="222"/>
      <c r="E32" s="222"/>
      <c r="F32" s="222"/>
      <c r="G32" s="222"/>
      <c r="H32" s="222"/>
      <c r="I32" s="222"/>
      <c r="J32" s="222"/>
      <c r="K32" s="222"/>
      <c r="L32" s="222"/>
      <c r="M32" s="222"/>
      <c r="N32" s="121"/>
    </row>
    <row r="33" spans="1:14" x14ac:dyDescent="0.25">
      <c r="B33" s="124"/>
      <c r="C33" s="222"/>
      <c r="D33" s="222"/>
      <c r="E33" s="222"/>
      <c r="F33" s="222"/>
      <c r="G33" s="222"/>
      <c r="H33" s="222"/>
      <c r="I33" s="222"/>
      <c r="J33" s="222"/>
      <c r="K33" s="222"/>
      <c r="L33" s="222"/>
      <c r="M33" s="222"/>
      <c r="N33" s="121"/>
    </row>
    <row r="34" spans="1:14" x14ac:dyDescent="0.25">
      <c r="B34" s="124"/>
      <c r="C34" s="222"/>
      <c r="D34" s="222"/>
      <c r="E34" s="222"/>
      <c r="F34" s="222"/>
      <c r="G34" s="222"/>
      <c r="H34" s="222"/>
      <c r="I34" s="222"/>
      <c r="J34" s="222"/>
      <c r="K34" s="222"/>
      <c r="L34" s="222"/>
      <c r="M34" s="222"/>
      <c r="N34" s="121"/>
    </row>
    <row r="35" spans="1:14" x14ac:dyDescent="0.25">
      <c r="B35" s="124"/>
      <c r="C35" s="222"/>
      <c r="D35" s="222"/>
      <c r="E35" s="222"/>
      <c r="F35" s="222"/>
      <c r="G35" s="222"/>
      <c r="H35" s="222"/>
      <c r="I35" s="222"/>
      <c r="J35" s="222"/>
      <c r="K35" s="222"/>
      <c r="L35" s="222"/>
      <c r="M35" s="222"/>
      <c r="N35" s="121"/>
    </row>
    <row r="36" spans="1:14" ht="42.75" customHeight="1" x14ac:dyDescent="0.25">
      <c r="B36" s="124"/>
      <c r="C36" s="222"/>
      <c r="D36" s="222"/>
      <c r="E36" s="222"/>
      <c r="F36" s="222"/>
      <c r="G36" s="222"/>
      <c r="H36" s="222"/>
      <c r="I36" s="222"/>
      <c r="J36" s="222"/>
      <c r="K36" s="222"/>
      <c r="L36" s="222"/>
      <c r="M36" s="222"/>
      <c r="N36" s="121"/>
    </row>
    <row r="37" spans="1:14" ht="31.5" customHeight="1" x14ac:dyDescent="0.25">
      <c r="A37" s="140"/>
      <c r="B37" s="261" t="s">
        <v>152</v>
      </c>
      <c r="C37" s="261"/>
      <c r="D37" s="261"/>
      <c r="E37" s="261"/>
      <c r="F37" s="261"/>
      <c r="G37" s="261"/>
      <c r="H37" s="261"/>
      <c r="I37" s="261"/>
      <c r="J37" s="261"/>
      <c r="K37" s="261"/>
      <c r="L37" s="261"/>
      <c r="M37" s="261"/>
      <c r="N37" s="121"/>
    </row>
    <row r="38" spans="1:14" x14ac:dyDescent="0.25">
      <c r="B38" s="124"/>
      <c r="C38" s="222"/>
      <c r="D38" s="222"/>
      <c r="E38" s="222"/>
      <c r="F38" s="222"/>
      <c r="G38" s="222"/>
      <c r="H38" s="222"/>
      <c r="I38" s="222"/>
      <c r="J38" s="222"/>
      <c r="K38" s="222"/>
      <c r="L38" s="222"/>
      <c r="M38" s="222"/>
      <c r="N38" s="121"/>
    </row>
    <row r="39" spans="1:14" x14ac:dyDescent="0.25">
      <c r="B39" s="128" t="s">
        <v>147</v>
      </c>
      <c r="C39" s="227"/>
      <c r="D39" s="227"/>
      <c r="E39" s="227"/>
      <c r="F39" s="227"/>
      <c r="G39" s="227"/>
      <c r="H39" s="227"/>
      <c r="I39" s="227"/>
      <c r="J39" s="227"/>
      <c r="K39" s="227"/>
      <c r="L39" s="227"/>
      <c r="M39" s="227"/>
      <c r="N39" s="121"/>
    </row>
    <row r="40" spans="1:14" ht="72" customHeight="1" x14ac:dyDescent="0.25">
      <c r="A40" s="140"/>
      <c r="B40" s="261" t="s">
        <v>237</v>
      </c>
      <c r="C40" s="261"/>
      <c r="D40" s="261"/>
      <c r="E40" s="261"/>
      <c r="F40" s="261"/>
      <c r="G40" s="261"/>
      <c r="H40" s="261"/>
      <c r="I40" s="261"/>
      <c r="J40" s="261"/>
      <c r="K40" s="261"/>
      <c r="L40" s="261"/>
      <c r="M40" s="261"/>
      <c r="N40" s="121"/>
    </row>
    <row r="41" spans="1:14" ht="12.75" customHeight="1" x14ac:dyDescent="0.25">
      <c r="A41" s="140"/>
      <c r="B41" s="227"/>
      <c r="C41" s="227"/>
      <c r="D41" s="227"/>
      <c r="E41" s="227"/>
      <c r="F41" s="227"/>
      <c r="G41" s="227"/>
      <c r="H41" s="227"/>
      <c r="I41" s="227"/>
      <c r="J41" s="227"/>
      <c r="K41" s="227"/>
      <c r="L41" s="227"/>
      <c r="M41" s="227"/>
      <c r="N41" s="121"/>
    </row>
    <row r="42" spans="1:14" ht="18" x14ac:dyDescent="0.25">
      <c r="A42" s="140"/>
      <c r="B42" s="129" t="s">
        <v>267</v>
      </c>
      <c r="C42" s="227"/>
      <c r="D42" s="227"/>
      <c r="E42" s="227"/>
      <c r="F42" s="227"/>
      <c r="G42" s="227"/>
      <c r="H42" s="227"/>
      <c r="I42" s="227"/>
      <c r="J42" s="227"/>
      <c r="K42" s="227"/>
      <c r="L42" s="227"/>
      <c r="M42" s="227"/>
      <c r="N42" s="121"/>
    </row>
    <row r="43" spans="1:14" x14ac:dyDescent="0.25">
      <c r="A43" s="140"/>
      <c r="B43" s="227"/>
      <c r="C43" s="227"/>
      <c r="D43" s="227"/>
      <c r="E43" s="227"/>
      <c r="F43" s="227"/>
      <c r="G43" s="227"/>
      <c r="H43" s="227"/>
      <c r="I43" s="227"/>
      <c r="J43" s="227"/>
      <c r="K43" s="227"/>
      <c r="L43" s="227"/>
      <c r="M43" s="227"/>
      <c r="N43" s="121"/>
    </row>
    <row r="44" spans="1:14" x14ac:dyDescent="0.25">
      <c r="A44" s="140"/>
      <c r="B44" s="257" t="s">
        <v>176</v>
      </c>
      <c r="C44" s="258"/>
      <c r="D44" s="258"/>
      <c r="E44" s="258"/>
      <c r="F44" s="258"/>
      <c r="G44" s="258"/>
      <c r="H44" s="258"/>
      <c r="I44" s="258"/>
      <c r="J44" s="258"/>
      <c r="K44" s="258"/>
      <c r="L44" s="258"/>
      <c r="M44" s="258"/>
      <c r="N44" s="121"/>
    </row>
    <row r="45" spans="1:14" ht="9" customHeight="1" x14ac:dyDescent="0.25">
      <c r="A45" s="140"/>
      <c r="B45" s="227"/>
      <c r="C45" s="227"/>
      <c r="D45" s="227"/>
      <c r="E45" s="227"/>
      <c r="F45" s="227"/>
      <c r="G45" s="227"/>
      <c r="H45" s="227"/>
      <c r="I45" s="227"/>
      <c r="J45" s="227"/>
      <c r="K45" s="227"/>
      <c r="L45" s="227"/>
      <c r="M45" s="227"/>
      <c r="N45" s="121"/>
    </row>
    <row r="46" spans="1:14" x14ac:dyDescent="0.25">
      <c r="A46" s="140"/>
      <c r="B46" s="246" t="s">
        <v>154</v>
      </c>
      <c r="C46" s="247"/>
      <c r="D46" s="247"/>
      <c r="E46" s="247"/>
      <c r="F46" s="247"/>
      <c r="G46" s="247"/>
      <c r="H46" s="247"/>
      <c r="I46" s="247"/>
      <c r="J46" s="247"/>
      <c r="K46" s="247"/>
      <c r="L46" s="247"/>
      <c r="M46" s="247"/>
      <c r="N46" s="121"/>
    </row>
    <row r="47" spans="1:14" ht="45" customHeight="1" x14ac:dyDescent="0.25">
      <c r="A47" s="140"/>
      <c r="B47" s="256" t="s">
        <v>155</v>
      </c>
      <c r="C47" s="256"/>
      <c r="D47" s="256"/>
      <c r="E47" s="256"/>
      <c r="F47" s="256"/>
      <c r="G47" s="256"/>
      <c r="H47" s="256"/>
      <c r="I47" s="256"/>
      <c r="J47" s="256"/>
      <c r="K47" s="256"/>
      <c r="L47" s="256"/>
      <c r="M47" s="256"/>
      <c r="N47" s="121"/>
    </row>
    <row r="48" spans="1:14" ht="43.5" customHeight="1" x14ac:dyDescent="0.25">
      <c r="A48" s="140"/>
      <c r="B48" s="256" t="s">
        <v>268</v>
      </c>
      <c r="C48" s="256"/>
      <c r="D48" s="256"/>
      <c r="E48" s="256"/>
      <c r="F48" s="256"/>
      <c r="G48" s="256"/>
      <c r="H48" s="256"/>
      <c r="I48" s="256"/>
      <c r="J48" s="256"/>
      <c r="K48" s="256"/>
      <c r="L48" s="256"/>
      <c r="M48" s="256"/>
      <c r="N48" s="121"/>
    </row>
    <row r="49" spans="1:14" ht="15.75" customHeight="1" x14ac:dyDescent="0.25">
      <c r="A49" s="140"/>
      <c r="B49" s="256" t="s">
        <v>269</v>
      </c>
      <c r="C49" s="256"/>
      <c r="D49" s="256"/>
      <c r="E49" s="256"/>
      <c r="F49" s="256"/>
      <c r="G49" s="256"/>
      <c r="H49" s="256"/>
      <c r="I49" s="256"/>
      <c r="J49" s="256"/>
      <c r="K49" s="256"/>
      <c r="L49" s="256"/>
      <c r="M49" s="256"/>
      <c r="N49" s="121"/>
    </row>
    <row r="50" spans="1:14" ht="90" customHeight="1" x14ac:dyDescent="0.25">
      <c r="A50" s="140"/>
      <c r="B50" s="256" t="s">
        <v>275</v>
      </c>
      <c r="C50" s="256"/>
      <c r="D50" s="256"/>
      <c r="E50" s="256"/>
      <c r="F50" s="256"/>
      <c r="G50" s="256"/>
      <c r="H50" s="256"/>
      <c r="I50" s="256"/>
      <c r="J50" s="256"/>
      <c r="K50" s="256"/>
      <c r="L50" s="256"/>
      <c r="M50" s="256"/>
      <c r="N50" s="121"/>
    </row>
    <row r="51" spans="1:14" ht="33.75" customHeight="1" x14ac:dyDescent="0.25">
      <c r="B51" s="250" t="s">
        <v>177</v>
      </c>
      <c r="C51" s="251"/>
      <c r="D51" s="251"/>
      <c r="E51" s="251"/>
      <c r="F51" s="251"/>
      <c r="G51" s="251"/>
      <c r="H51" s="251"/>
      <c r="I51" s="251"/>
      <c r="J51" s="251"/>
      <c r="K51" s="251"/>
      <c r="L51" s="251"/>
      <c r="M51" s="251"/>
      <c r="N51" s="121"/>
    </row>
    <row r="52" spans="1:14" ht="46.5" customHeight="1" x14ac:dyDescent="0.25">
      <c r="B52" s="248" t="s">
        <v>156</v>
      </c>
      <c r="C52" s="249"/>
      <c r="D52" s="249"/>
      <c r="E52" s="249"/>
      <c r="F52" s="249"/>
      <c r="G52" s="249"/>
      <c r="H52" s="249"/>
      <c r="I52" s="249"/>
      <c r="J52" s="249"/>
      <c r="K52" s="249"/>
      <c r="L52" s="249"/>
      <c r="M52" s="249"/>
      <c r="N52" s="121"/>
    </row>
    <row r="53" spans="1:14" ht="61.5" customHeight="1" x14ac:dyDescent="0.25">
      <c r="B53" s="248" t="s">
        <v>157</v>
      </c>
      <c r="C53" s="249"/>
      <c r="D53" s="249"/>
      <c r="E53" s="249"/>
      <c r="F53" s="249"/>
      <c r="G53" s="249"/>
      <c r="H53" s="249"/>
      <c r="I53" s="249"/>
      <c r="J53" s="249"/>
      <c r="K53" s="249"/>
      <c r="L53" s="249"/>
      <c r="M53" s="249"/>
      <c r="N53" s="121"/>
    </row>
    <row r="54" spans="1:14" x14ac:dyDescent="0.25">
      <c r="B54" s="246" t="s">
        <v>158</v>
      </c>
      <c r="C54" s="247"/>
      <c r="D54" s="247"/>
      <c r="E54" s="247"/>
      <c r="F54" s="247"/>
      <c r="G54" s="247"/>
      <c r="H54" s="247"/>
      <c r="I54" s="247"/>
      <c r="J54" s="247"/>
      <c r="K54" s="247"/>
      <c r="L54" s="247"/>
      <c r="M54" s="247"/>
      <c r="N54" s="121"/>
    </row>
    <row r="55" spans="1:14" x14ac:dyDescent="0.25">
      <c r="B55" s="221"/>
      <c r="C55" s="227"/>
      <c r="D55" s="227"/>
      <c r="E55" s="227"/>
      <c r="F55" s="227"/>
      <c r="G55" s="227"/>
      <c r="H55" s="227"/>
      <c r="I55" s="227"/>
      <c r="J55" s="227"/>
      <c r="K55" s="227"/>
      <c r="L55" s="227"/>
      <c r="M55" s="227"/>
      <c r="N55" s="121"/>
    </row>
    <row r="56" spans="1:14" ht="33" customHeight="1" x14ac:dyDescent="0.25">
      <c r="B56" s="250" t="s">
        <v>178</v>
      </c>
      <c r="C56" s="251"/>
      <c r="D56" s="251"/>
      <c r="E56" s="251"/>
      <c r="F56" s="251"/>
      <c r="G56" s="251"/>
      <c r="H56" s="251"/>
      <c r="I56" s="251"/>
      <c r="J56" s="251"/>
      <c r="K56" s="251"/>
      <c r="L56" s="251"/>
      <c r="M56" s="251"/>
      <c r="N56" s="121"/>
    </row>
    <row r="57" spans="1:14" x14ac:dyDescent="0.25">
      <c r="B57" s="221" t="s">
        <v>159</v>
      </c>
      <c r="C57" s="227"/>
      <c r="D57" s="227"/>
      <c r="E57" s="227"/>
      <c r="F57" s="227"/>
      <c r="G57" s="227"/>
      <c r="H57" s="227"/>
      <c r="I57" s="227"/>
      <c r="J57" s="227"/>
      <c r="K57" s="227"/>
      <c r="L57" s="227"/>
      <c r="M57" s="227"/>
      <c r="N57" s="121"/>
    </row>
    <row r="58" spans="1:14" ht="47.25" customHeight="1" x14ac:dyDescent="0.25">
      <c r="B58" s="248" t="s">
        <v>160</v>
      </c>
      <c r="C58" s="249"/>
      <c r="D58" s="249"/>
      <c r="E58" s="249"/>
      <c r="F58" s="249"/>
      <c r="G58" s="249"/>
      <c r="H58" s="249"/>
      <c r="I58" s="249"/>
      <c r="J58" s="249"/>
      <c r="K58" s="249"/>
      <c r="L58" s="249"/>
      <c r="M58" s="249"/>
      <c r="N58" s="121"/>
    </row>
    <row r="59" spans="1:14" x14ac:dyDescent="0.25">
      <c r="B59" s="221" t="s">
        <v>161</v>
      </c>
      <c r="C59" s="227"/>
      <c r="D59" s="227"/>
      <c r="E59" s="227"/>
      <c r="F59" s="227"/>
      <c r="G59" s="227"/>
      <c r="H59" s="227"/>
      <c r="I59" s="227"/>
      <c r="J59" s="227"/>
      <c r="K59" s="227"/>
      <c r="L59" s="227"/>
      <c r="M59" s="227"/>
      <c r="N59" s="121"/>
    </row>
    <row r="60" spans="1:14" x14ac:dyDescent="0.25">
      <c r="B60" s="221"/>
      <c r="C60" s="227"/>
      <c r="D60" s="227"/>
      <c r="E60" s="227"/>
      <c r="F60" s="227"/>
      <c r="G60" s="227"/>
      <c r="H60" s="227"/>
      <c r="I60" s="227"/>
      <c r="J60" s="227"/>
      <c r="K60" s="227"/>
      <c r="L60" s="227"/>
      <c r="M60" s="227"/>
      <c r="N60" s="121"/>
    </row>
    <row r="61" spans="1:14" ht="33" customHeight="1" x14ac:dyDescent="0.25">
      <c r="B61" s="250" t="s">
        <v>179</v>
      </c>
      <c r="C61" s="251"/>
      <c r="D61" s="251"/>
      <c r="E61" s="251"/>
      <c r="F61" s="251"/>
      <c r="G61" s="251"/>
      <c r="H61" s="251"/>
      <c r="I61" s="251"/>
      <c r="J61" s="251"/>
      <c r="K61" s="251"/>
      <c r="L61" s="251"/>
      <c r="M61" s="251"/>
      <c r="N61" s="121"/>
    </row>
    <row r="62" spans="1:14" x14ac:dyDescent="0.25">
      <c r="B62" s="246" t="s">
        <v>162</v>
      </c>
      <c r="C62" s="247"/>
      <c r="D62" s="247"/>
      <c r="E62" s="247"/>
      <c r="F62" s="247"/>
      <c r="G62" s="247"/>
      <c r="H62" s="247"/>
      <c r="I62" s="247"/>
      <c r="J62" s="247"/>
      <c r="K62" s="247"/>
      <c r="L62" s="247"/>
      <c r="M62" s="247"/>
      <c r="N62" s="121"/>
    </row>
    <row r="63" spans="1:14" x14ac:dyDescent="0.25">
      <c r="B63" s="246" t="s">
        <v>163</v>
      </c>
      <c r="C63" s="247"/>
      <c r="D63" s="247"/>
      <c r="E63" s="247"/>
      <c r="F63" s="247"/>
      <c r="G63" s="247"/>
      <c r="H63" s="247"/>
      <c r="I63" s="247"/>
      <c r="J63" s="247"/>
      <c r="K63" s="247"/>
      <c r="L63" s="247"/>
      <c r="M63" s="247"/>
      <c r="N63" s="121"/>
    </row>
    <row r="64" spans="1:14" ht="32.25" customHeight="1" x14ac:dyDescent="0.25">
      <c r="B64" s="248" t="s">
        <v>164</v>
      </c>
      <c r="C64" s="249"/>
      <c r="D64" s="249"/>
      <c r="E64" s="249"/>
      <c r="F64" s="249"/>
      <c r="G64" s="249"/>
      <c r="H64" s="249"/>
      <c r="I64" s="249"/>
      <c r="J64" s="249"/>
      <c r="K64" s="249"/>
      <c r="L64" s="249"/>
      <c r="M64" s="249"/>
      <c r="N64" s="121"/>
    </row>
    <row r="65" spans="2:14" ht="16.5" customHeight="1" x14ac:dyDescent="0.25">
      <c r="B65" s="220"/>
      <c r="C65" s="228"/>
      <c r="D65" s="228"/>
      <c r="E65" s="228"/>
      <c r="F65" s="228"/>
      <c r="G65" s="228"/>
      <c r="H65" s="228"/>
      <c r="I65" s="228"/>
      <c r="J65" s="228"/>
      <c r="K65" s="228"/>
      <c r="L65" s="228"/>
      <c r="M65" s="228"/>
      <c r="N65" s="121"/>
    </row>
    <row r="66" spans="2:14" x14ac:dyDescent="0.25">
      <c r="B66" s="250" t="s">
        <v>180</v>
      </c>
      <c r="C66" s="251"/>
      <c r="D66" s="251"/>
      <c r="E66" s="251"/>
      <c r="F66" s="251"/>
      <c r="G66" s="251"/>
      <c r="H66" s="251"/>
      <c r="I66" s="251"/>
      <c r="J66" s="251"/>
      <c r="K66" s="251"/>
      <c r="L66" s="251"/>
      <c r="M66" s="251"/>
      <c r="N66" s="121"/>
    </row>
    <row r="67" spans="2:14" ht="32.25" customHeight="1" x14ac:dyDescent="0.25">
      <c r="B67" s="220"/>
      <c r="C67" s="228"/>
      <c r="D67" s="228"/>
      <c r="E67" s="228"/>
      <c r="F67" s="228"/>
      <c r="G67" s="228"/>
      <c r="H67" s="228"/>
      <c r="I67" s="228"/>
      <c r="J67" s="228"/>
      <c r="K67" s="228"/>
      <c r="L67" s="228"/>
      <c r="M67" s="228"/>
      <c r="N67" s="121"/>
    </row>
    <row r="68" spans="2:14" ht="32.25" customHeight="1" x14ac:dyDescent="0.25">
      <c r="B68" s="220"/>
      <c r="C68" s="228"/>
      <c r="D68" s="228"/>
      <c r="E68" s="228"/>
      <c r="F68" s="228"/>
      <c r="G68" s="228"/>
      <c r="H68" s="228"/>
      <c r="I68" s="228"/>
      <c r="J68" s="228"/>
      <c r="K68" s="228"/>
      <c r="L68" s="228"/>
      <c r="M68" s="228"/>
      <c r="N68" s="121"/>
    </row>
    <row r="69" spans="2:14" ht="32.25" customHeight="1" x14ac:dyDescent="0.25">
      <c r="B69" s="220"/>
      <c r="C69" s="228"/>
      <c r="D69" s="228"/>
      <c r="E69" s="228"/>
      <c r="F69" s="228"/>
      <c r="G69" s="228"/>
      <c r="H69" s="228"/>
      <c r="I69" s="228"/>
      <c r="J69" s="228"/>
      <c r="K69" s="228"/>
      <c r="L69" s="228"/>
      <c r="M69" s="228"/>
      <c r="N69" s="121"/>
    </row>
    <row r="70" spans="2:14" ht="32.25" customHeight="1" x14ac:dyDescent="0.25">
      <c r="B70" s="220"/>
      <c r="C70" s="228"/>
      <c r="D70" s="228"/>
      <c r="E70" s="228"/>
      <c r="F70" s="228"/>
      <c r="G70" s="228"/>
      <c r="H70" s="228"/>
      <c r="I70" s="228"/>
      <c r="J70" s="228"/>
      <c r="K70" s="228"/>
      <c r="L70" s="228"/>
      <c r="M70" s="228"/>
      <c r="N70" s="121"/>
    </row>
    <row r="71" spans="2:14" ht="32.25" customHeight="1" x14ac:dyDescent="0.25">
      <c r="B71" s="220"/>
      <c r="C71" s="228"/>
      <c r="D71" s="228"/>
      <c r="E71" s="228"/>
      <c r="F71" s="228"/>
      <c r="G71" s="228"/>
      <c r="H71" s="228"/>
      <c r="I71" s="228"/>
      <c r="J71" s="228"/>
      <c r="K71" s="228"/>
      <c r="L71" s="228"/>
      <c r="M71" s="228"/>
      <c r="N71" s="121"/>
    </row>
    <row r="72" spans="2:14" ht="18" x14ac:dyDescent="0.25">
      <c r="B72" s="253" t="s">
        <v>270</v>
      </c>
      <c r="C72" s="254"/>
      <c r="D72" s="254"/>
      <c r="E72" s="254"/>
      <c r="F72" s="254"/>
      <c r="G72" s="254"/>
      <c r="H72" s="254"/>
      <c r="I72" s="254"/>
      <c r="J72" s="254"/>
      <c r="K72" s="254"/>
      <c r="L72" s="254"/>
      <c r="M72" s="254"/>
      <c r="N72" s="121"/>
    </row>
    <row r="73" spans="2:14" x14ac:dyDescent="0.25">
      <c r="B73" s="221"/>
      <c r="C73" s="227"/>
      <c r="D73" s="227"/>
      <c r="E73" s="227"/>
      <c r="F73" s="227"/>
      <c r="G73" s="227"/>
      <c r="H73" s="227"/>
      <c r="I73" s="227"/>
      <c r="J73" s="227"/>
      <c r="K73" s="227"/>
      <c r="L73" s="227"/>
      <c r="M73" s="227"/>
      <c r="N73" s="121"/>
    </row>
    <row r="74" spans="2:14" x14ac:dyDescent="0.25">
      <c r="B74" s="250" t="s">
        <v>181</v>
      </c>
      <c r="C74" s="251"/>
      <c r="D74" s="251"/>
      <c r="E74" s="251"/>
      <c r="F74" s="251"/>
      <c r="G74" s="251"/>
      <c r="H74" s="251"/>
      <c r="I74" s="251"/>
      <c r="J74" s="251"/>
      <c r="K74" s="251"/>
      <c r="L74" s="251"/>
      <c r="M74" s="251"/>
      <c r="N74" s="252"/>
    </row>
    <row r="75" spans="2:14" x14ac:dyDescent="0.25">
      <c r="B75" s="221" t="s">
        <v>271</v>
      </c>
      <c r="C75" s="227"/>
      <c r="D75" s="245" t="s">
        <v>140</v>
      </c>
      <c r="E75" s="245"/>
      <c r="F75" s="245"/>
      <c r="G75" s="245"/>
      <c r="H75" s="245"/>
      <c r="I75" s="245"/>
      <c r="J75" s="227"/>
      <c r="K75" s="227"/>
      <c r="L75" s="227"/>
      <c r="M75" s="227"/>
      <c r="N75" s="121"/>
    </row>
    <row r="76" spans="2:14" ht="27.75" customHeight="1" x14ac:dyDescent="0.25">
      <c r="B76" s="248" t="s">
        <v>165</v>
      </c>
      <c r="C76" s="249"/>
      <c r="D76" s="249"/>
      <c r="E76" s="249"/>
      <c r="F76" s="249"/>
      <c r="G76" s="249"/>
      <c r="H76" s="249"/>
      <c r="I76" s="249"/>
      <c r="J76" s="249"/>
      <c r="K76" s="249"/>
      <c r="L76" s="249"/>
      <c r="M76" s="249"/>
      <c r="N76" s="121"/>
    </row>
    <row r="77" spans="2:14" ht="29.25" customHeight="1" x14ac:dyDescent="0.25">
      <c r="B77" s="248" t="s">
        <v>166</v>
      </c>
      <c r="C77" s="249"/>
      <c r="D77" s="249"/>
      <c r="E77" s="249"/>
      <c r="F77" s="249"/>
      <c r="G77" s="249"/>
      <c r="H77" s="249"/>
      <c r="I77" s="249"/>
      <c r="J77" s="249"/>
      <c r="K77" s="249"/>
      <c r="L77" s="249"/>
      <c r="M77" s="249"/>
      <c r="N77" s="121"/>
    </row>
    <row r="78" spans="2:14" x14ac:dyDescent="0.25">
      <c r="B78" s="221" t="s">
        <v>167</v>
      </c>
      <c r="C78" s="227"/>
      <c r="D78" s="227"/>
      <c r="E78" s="227"/>
      <c r="F78" s="227"/>
      <c r="G78" s="227"/>
      <c r="H78" s="227"/>
      <c r="I78" s="227"/>
      <c r="J78" s="227"/>
      <c r="K78" s="227"/>
      <c r="L78" s="227"/>
      <c r="M78" s="227"/>
      <c r="N78" s="121"/>
    </row>
    <row r="79" spans="2:14" x14ac:dyDescent="0.25">
      <c r="B79" s="221"/>
      <c r="C79" s="227"/>
      <c r="D79" s="227"/>
      <c r="E79" s="227"/>
      <c r="F79" s="227"/>
      <c r="G79" s="227"/>
      <c r="H79" s="227"/>
      <c r="I79" s="227"/>
      <c r="J79" s="227"/>
      <c r="K79" s="227"/>
      <c r="L79" s="227"/>
      <c r="M79" s="227"/>
      <c r="N79" s="121"/>
    </row>
    <row r="80" spans="2:14" x14ac:dyDescent="0.25">
      <c r="B80" s="250" t="s">
        <v>202</v>
      </c>
      <c r="C80" s="251"/>
      <c r="D80" s="251"/>
      <c r="E80" s="251"/>
      <c r="F80" s="251"/>
      <c r="G80" s="251"/>
      <c r="H80" s="251"/>
      <c r="I80" s="251"/>
      <c r="J80" s="251"/>
      <c r="K80" s="251"/>
      <c r="L80" s="251"/>
      <c r="M80" s="251"/>
      <c r="N80" s="252"/>
    </row>
    <row r="81" spans="2:14" x14ac:dyDescent="0.25">
      <c r="B81" s="221" t="s">
        <v>272</v>
      </c>
      <c r="C81" s="227"/>
      <c r="D81" s="255" t="s">
        <v>141</v>
      </c>
      <c r="E81" s="255"/>
      <c r="F81" s="255"/>
      <c r="G81" s="255"/>
      <c r="H81" s="255"/>
      <c r="I81" s="227"/>
      <c r="J81" s="227"/>
      <c r="K81" s="227"/>
      <c r="L81" s="227"/>
      <c r="M81" s="227"/>
      <c r="N81" s="121"/>
    </row>
    <row r="82" spans="2:14" ht="58.5" customHeight="1" x14ac:dyDescent="0.25">
      <c r="B82" s="248" t="s">
        <v>168</v>
      </c>
      <c r="C82" s="249"/>
      <c r="D82" s="249"/>
      <c r="E82" s="249"/>
      <c r="F82" s="249"/>
      <c r="G82" s="249"/>
      <c r="H82" s="249"/>
      <c r="I82" s="249"/>
      <c r="J82" s="249"/>
      <c r="K82" s="249"/>
      <c r="L82" s="249"/>
      <c r="M82" s="249"/>
      <c r="N82" s="121"/>
    </row>
    <row r="83" spans="2:14" x14ac:dyDescent="0.25">
      <c r="B83" s="221" t="s">
        <v>169</v>
      </c>
      <c r="C83" s="227"/>
      <c r="D83" s="227"/>
      <c r="E83" s="227"/>
      <c r="F83" s="227"/>
      <c r="G83" s="227"/>
      <c r="H83" s="227"/>
      <c r="I83" s="227"/>
      <c r="J83" s="227"/>
      <c r="K83" s="227"/>
      <c r="L83" s="227"/>
      <c r="M83" s="227"/>
      <c r="N83" s="121"/>
    </row>
    <row r="84" spans="2:14" x14ac:dyDescent="0.25">
      <c r="B84" s="221" t="s">
        <v>170</v>
      </c>
      <c r="C84" s="227"/>
      <c r="D84" s="227"/>
      <c r="E84" s="227"/>
      <c r="F84" s="227"/>
      <c r="G84" s="227"/>
      <c r="H84" s="227"/>
      <c r="I84" s="227"/>
      <c r="J84" s="227"/>
      <c r="K84" s="227"/>
      <c r="L84" s="227"/>
      <c r="M84" s="227"/>
      <c r="N84" s="121"/>
    </row>
    <row r="85" spans="2:14" x14ac:dyDescent="0.25">
      <c r="B85" s="221"/>
      <c r="C85" s="227"/>
      <c r="D85" s="227"/>
      <c r="E85" s="227"/>
      <c r="F85" s="227"/>
      <c r="G85" s="227"/>
      <c r="H85" s="227"/>
      <c r="I85" s="227"/>
      <c r="J85" s="227"/>
      <c r="K85" s="227"/>
      <c r="L85" s="227"/>
      <c r="M85" s="227"/>
      <c r="N85" s="121"/>
    </row>
    <row r="86" spans="2:14" ht="31.5" customHeight="1" x14ac:dyDescent="0.25">
      <c r="B86" s="250" t="s">
        <v>182</v>
      </c>
      <c r="C86" s="251"/>
      <c r="D86" s="251"/>
      <c r="E86" s="251"/>
      <c r="F86" s="251"/>
      <c r="G86" s="251"/>
      <c r="H86" s="251"/>
      <c r="I86" s="251"/>
      <c r="J86" s="251"/>
      <c r="K86" s="251"/>
      <c r="L86" s="251"/>
      <c r="M86" s="251"/>
      <c r="N86" s="121"/>
    </row>
    <row r="87" spans="2:14" x14ac:dyDescent="0.25">
      <c r="B87" s="221" t="s">
        <v>271</v>
      </c>
      <c r="C87" s="227"/>
      <c r="D87" s="245" t="s">
        <v>210</v>
      </c>
      <c r="E87" s="245"/>
      <c r="F87" s="245"/>
      <c r="G87" s="245"/>
      <c r="H87" s="245"/>
      <c r="I87" s="227"/>
      <c r="J87" s="227"/>
      <c r="K87" s="227"/>
      <c r="L87" s="227"/>
      <c r="M87" s="227"/>
      <c r="N87" s="121"/>
    </row>
    <row r="88" spans="2:14" x14ac:dyDescent="0.25">
      <c r="B88" s="221" t="s">
        <v>211</v>
      </c>
      <c r="C88" s="227"/>
      <c r="D88" s="227"/>
      <c r="E88" s="227"/>
      <c r="F88" s="227"/>
      <c r="G88" s="227"/>
      <c r="H88" s="227"/>
      <c r="I88" s="227"/>
      <c r="J88" s="227"/>
      <c r="K88" s="227"/>
      <c r="L88" s="227"/>
      <c r="M88" s="227"/>
      <c r="N88" s="121"/>
    </row>
    <row r="89" spans="2:14" ht="28.5" customHeight="1" x14ac:dyDescent="0.25">
      <c r="B89" s="248" t="s">
        <v>171</v>
      </c>
      <c r="C89" s="249"/>
      <c r="D89" s="249"/>
      <c r="E89" s="249"/>
      <c r="F89" s="249"/>
      <c r="G89" s="249"/>
      <c r="H89" s="249"/>
      <c r="I89" s="249"/>
      <c r="J89" s="249"/>
      <c r="K89" s="249"/>
      <c r="L89" s="249"/>
      <c r="M89" s="249"/>
      <c r="N89" s="121"/>
    </row>
    <row r="90" spans="2:14" ht="30" customHeight="1" x14ac:dyDescent="0.25">
      <c r="B90" s="248" t="s">
        <v>172</v>
      </c>
      <c r="C90" s="249"/>
      <c r="D90" s="249"/>
      <c r="E90" s="249"/>
      <c r="F90" s="249"/>
      <c r="G90" s="249"/>
      <c r="H90" s="249"/>
      <c r="I90" s="249"/>
      <c r="J90" s="249"/>
      <c r="K90" s="249"/>
      <c r="L90" s="249"/>
      <c r="M90" s="249"/>
      <c r="N90" s="121"/>
    </row>
    <row r="91" spans="2:14" ht="33.75" customHeight="1" x14ac:dyDescent="0.25">
      <c r="B91" s="248" t="s">
        <v>173</v>
      </c>
      <c r="C91" s="249"/>
      <c r="D91" s="249"/>
      <c r="E91" s="249"/>
      <c r="F91" s="249"/>
      <c r="G91" s="249"/>
      <c r="H91" s="249"/>
      <c r="I91" s="249"/>
      <c r="J91" s="249"/>
      <c r="K91" s="249"/>
      <c r="L91" s="249"/>
      <c r="M91" s="249"/>
      <c r="N91" s="121"/>
    </row>
    <row r="92" spans="2:14" x14ac:dyDescent="0.25">
      <c r="B92" s="221"/>
      <c r="C92" s="227"/>
      <c r="D92" s="227"/>
      <c r="E92" s="227"/>
      <c r="F92" s="227"/>
      <c r="G92" s="227"/>
      <c r="H92" s="227"/>
      <c r="I92" s="227"/>
      <c r="J92" s="227"/>
      <c r="K92" s="227"/>
      <c r="L92" s="227"/>
      <c r="M92" s="227"/>
      <c r="N92" s="121"/>
    </row>
    <row r="93" spans="2:14" x14ac:dyDescent="0.25">
      <c r="B93" s="250" t="s">
        <v>183</v>
      </c>
      <c r="C93" s="251"/>
      <c r="D93" s="251"/>
      <c r="E93" s="251"/>
      <c r="F93" s="251"/>
      <c r="G93" s="251"/>
      <c r="H93" s="251"/>
      <c r="I93" s="251"/>
      <c r="J93" s="251"/>
      <c r="K93" s="251"/>
      <c r="L93" s="251"/>
      <c r="M93" s="251"/>
      <c r="N93" s="252"/>
    </row>
    <row r="94" spans="2:14" x14ac:dyDescent="0.25">
      <c r="B94" s="221" t="s">
        <v>273</v>
      </c>
      <c r="C94" s="227"/>
      <c r="D94" s="245" t="s">
        <v>142</v>
      </c>
      <c r="E94" s="245"/>
      <c r="F94" s="245"/>
      <c r="G94" s="245"/>
      <c r="H94" s="245"/>
      <c r="I94" s="245"/>
      <c r="J94" s="245"/>
      <c r="K94" s="227"/>
      <c r="L94" s="227"/>
      <c r="M94" s="227"/>
      <c r="N94" s="121"/>
    </row>
    <row r="95" spans="2:14" x14ac:dyDescent="0.25">
      <c r="B95" s="246" t="s">
        <v>174</v>
      </c>
      <c r="C95" s="247"/>
      <c r="D95" s="247"/>
      <c r="E95" s="247"/>
      <c r="F95" s="247"/>
      <c r="G95" s="247"/>
      <c r="H95" s="247"/>
      <c r="I95" s="247"/>
      <c r="J95" s="247"/>
      <c r="K95" s="247"/>
      <c r="L95" s="247"/>
      <c r="M95" s="247"/>
      <c r="N95" s="121"/>
    </row>
    <row r="96" spans="2:14" ht="18.75" customHeight="1" x14ac:dyDescent="0.25">
      <c r="B96" s="248" t="s">
        <v>204</v>
      </c>
      <c r="C96" s="249"/>
      <c r="D96" s="249"/>
      <c r="E96" s="249"/>
      <c r="F96" s="249"/>
      <c r="G96" s="249"/>
      <c r="H96" s="249"/>
      <c r="I96" s="249"/>
      <c r="J96" s="249"/>
      <c r="K96" s="249"/>
      <c r="L96" s="249"/>
      <c r="M96" s="249"/>
      <c r="N96" s="121"/>
    </row>
    <row r="97" spans="2:14" x14ac:dyDescent="0.25">
      <c r="B97" s="246" t="s">
        <v>175</v>
      </c>
      <c r="C97" s="247"/>
      <c r="D97" s="247"/>
      <c r="E97" s="247"/>
      <c r="F97" s="247"/>
      <c r="G97" s="247"/>
      <c r="H97" s="247"/>
      <c r="I97" s="247"/>
      <c r="J97" s="247"/>
      <c r="K97" s="247"/>
      <c r="L97" s="247"/>
      <c r="M97" s="247"/>
      <c r="N97" s="121"/>
    </row>
    <row r="98" spans="2:14" ht="15.75" thickBot="1" x14ac:dyDescent="0.3">
      <c r="B98" s="126"/>
      <c r="C98" s="127"/>
      <c r="D98" s="127"/>
      <c r="E98" s="127"/>
      <c r="F98" s="127"/>
      <c r="G98" s="127"/>
      <c r="H98" s="127"/>
      <c r="I98" s="127"/>
      <c r="J98" s="127"/>
      <c r="K98" s="127"/>
      <c r="L98" s="127"/>
      <c r="M98" s="127"/>
      <c r="N98" s="121"/>
    </row>
    <row r="99" spans="2:14" ht="15.75" thickTop="1" x14ac:dyDescent="0.25">
      <c r="B99" s="141"/>
      <c r="C99" s="229"/>
      <c r="D99" s="229"/>
      <c r="E99" s="229"/>
      <c r="F99" s="229"/>
      <c r="G99" s="229"/>
      <c r="H99" s="229"/>
      <c r="I99" s="229"/>
      <c r="J99" s="229"/>
      <c r="K99" s="229"/>
      <c r="L99" s="229"/>
      <c r="M99" s="229"/>
      <c r="N99" s="142"/>
    </row>
    <row r="100" spans="2:14" x14ac:dyDescent="0.25">
      <c r="B100" s="229"/>
      <c r="C100" s="229"/>
      <c r="D100" s="229"/>
      <c r="E100" s="229"/>
      <c r="F100" s="229"/>
      <c r="G100" s="229"/>
      <c r="H100" s="229"/>
      <c r="I100" s="229"/>
      <c r="J100" s="229"/>
      <c r="K100" s="229"/>
      <c r="L100" s="229"/>
      <c r="M100" s="229"/>
    </row>
    <row r="101" spans="2:14" x14ac:dyDescent="0.25">
      <c r="B101" s="229"/>
      <c r="C101" s="229"/>
      <c r="D101" s="229"/>
      <c r="E101" s="229"/>
      <c r="F101" s="229"/>
      <c r="G101" s="229"/>
      <c r="H101" s="229"/>
      <c r="I101" s="229"/>
      <c r="J101" s="229"/>
      <c r="K101" s="229"/>
      <c r="L101" s="229"/>
      <c r="M101" s="229"/>
    </row>
    <row r="102" spans="2:14" x14ac:dyDescent="0.25">
      <c r="B102" s="229"/>
      <c r="C102" s="229"/>
      <c r="D102" s="229"/>
      <c r="E102" s="229"/>
      <c r="F102" s="229"/>
      <c r="G102" s="229"/>
      <c r="H102" s="229"/>
      <c r="I102" s="229"/>
      <c r="J102" s="229"/>
      <c r="K102" s="229"/>
      <c r="L102" s="229"/>
      <c r="M102" s="229"/>
    </row>
    <row r="103" spans="2:14" x14ac:dyDescent="0.25">
      <c r="B103" s="229"/>
      <c r="C103" s="229"/>
      <c r="D103" s="229"/>
      <c r="E103" s="229"/>
      <c r="F103" s="229"/>
      <c r="G103" s="229"/>
      <c r="H103" s="229"/>
      <c r="I103" s="229"/>
      <c r="J103" s="229"/>
      <c r="K103" s="229"/>
      <c r="L103" s="229"/>
      <c r="M103" s="229"/>
    </row>
    <row r="104" spans="2:14" x14ac:dyDescent="0.25">
      <c r="B104" s="229"/>
      <c r="C104" s="229"/>
      <c r="D104" s="229"/>
      <c r="E104" s="229"/>
      <c r="F104" s="229"/>
      <c r="G104" s="229"/>
      <c r="H104" s="229"/>
      <c r="I104" s="229"/>
      <c r="J104" s="229"/>
      <c r="K104" s="229"/>
      <c r="L104" s="229"/>
      <c r="M104" s="229"/>
    </row>
    <row r="105" spans="2:14" x14ac:dyDescent="0.25">
      <c r="B105" s="229"/>
      <c r="C105" s="229"/>
      <c r="D105" s="229"/>
      <c r="E105" s="229"/>
      <c r="F105" s="229"/>
      <c r="G105" s="229"/>
      <c r="H105" s="229"/>
      <c r="I105" s="229"/>
      <c r="J105" s="229"/>
      <c r="K105" s="229"/>
      <c r="L105" s="229"/>
      <c r="M105" s="229"/>
    </row>
    <row r="106" spans="2:14" x14ac:dyDescent="0.25">
      <c r="B106" s="229"/>
      <c r="C106" s="229"/>
      <c r="D106" s="229"/>
      <c r="E106" s="229"/>
      <c r="F106" s="229"/>
      <c r="G106" s="229"/>
      <c r="H106" s="229"/>
      <c r="I106" s="229"/>
      <c r="J106" s="229"/>
      <c r="K106" s="229"/>
      <c r="L106" s="229"/>
      <c r="M106" s="229"/>
    </row>
    <row r="107" spans="2:14" x14ac:dyDescent="0.25">
      <c r="B107" s="229"/>
      <c r="C107" s="229"/>
      <c r="D107" s="229"/>
      <c r="E107" s="229"/>
      <c r="F107" s="229"/>
      <c r="G107" s="229"/>
      <c r="H107" s="229"/>
      <c r="I107" s="229"/>
      <c r="J107" s="229"/>
      <c r="K107" s="229"/>
      <c r="L107" s="229"/>
      <c r="M107" s="229"/>
    </row>
    <row r="108" spans="2:14" x14ac:dyDescent="0.25">
      <c r="B108" s="229"/>
      <c r="C108" s="229"/>
      <c r="D108" s="229"/>
      <c r="E108" s="229"/>
      <c r="F108" s="229"/>
      <c r="G108" s="229"/>
      <c r="H108" s="229"/>
      <c r="I108" s="229"/>
      <c r="J108" s="229"/>
      <c r="K108" s="229"/>
      <c r="L108" s="229"/>
      <c r="M108" s="229"/>
    </row>
    <row r="109" spans="2:14" x14ac:dyDescent="0.25">
      <c r="B109" s="229"/>
      <c r="C109" s="229"/>
      <c r="D109" s="229"/>
      <c r="E109" s="229"/>
      <c r="F109" s="229"/>
      <c r="G109" s="229"/>
      <c r="H109" s="229"/>
      <c r="I109" s="229"/>
      <c r="J109" s="229"/>
      <c r="K109" s="229"/>
      <c r="L109" s="229"/>
      <c r="M109" s="229"/>
    </row>
    <row r="110" spans="2:14" x14ac:dyDescent="0.25">
      <c r="B110" s="229"/>
      <c r="C110" s="229"/>
      <c r="D110" s="229"/>
      <c r="E110" s="229"/>
      <c r="F110" s="229"/>
      <c r="G110" s="229"/>
      <c r="H110" s="229"/>
      <c r="I110" s="229"/>
      <c r="J110" s="229"/>
      <c r="K110" s="229"/>
      <c r="L110" s="229"/>
      <c r="M110" s="229"/>
    </row>
    <row r="111" spans="2:14" x14ac:dyDescent="0.25">
      <c r="B111" s="229"/>
      <c r="C111" s="229"/>
      <c r="D111" s="229"/>
      <c r="E111" s="229"/>
      <c r="F111" s="229"/>
      <c r="G111" s="229"/>
      <c r="H111" s="229"/>
      <c r="I111" s="229"/>
      <c r="J111" s="229"/>
      <c r="K111" s="229"/>
      <c r="L111" s="229"/>
      <c r="M111" s="229"/>
    </row>
    <row r="112" spans="2:14" x14ac:dyDescent="0.25">
      <c r="B112" s="229"/>
      <c r="C112" s="229"/>
      <c r="D112" s="229"/>
      <c r="E112" s="229"/>
      <c r="F112" s="229"/>
      <c r="G112" s="229"/>
      <c r="H112" s="229"/>
      <c r="I112" s="229"/>
      <c r="J112" s="229"/>
      <c r="K112" s="229"/>
      <c r="L112" s="229"/>
      <c r="M112" s="229"/>
    </row>
    <row r="113" spans="2:13" x14ac:dyDescent="0.25">
      <c r="B113" s="229"/>
      <c r="C113" s="229"/>
      <c r="D113" s="229"/>
      <c r="E113" s="229"/>
      <c r="F113" s="229"/>
      <c r="G113" s="229"/>
      <c r="H113" s="229"/>
      <c r="I113" s="229"/>
      <c r="J113" s="229"/>
      <c r="K113" s="229"/>
      <c r="L113" s="229"/>
      <c r="M113" s="229"/>
    </row>
    <row r="114" spans="2:13" x14ac:dyDescent="0.25">
      <c r="B114" s="229"/>
      <c r="C114" s="229"/>
      <c r="D114" s="229"/>
      <c r="E114" s="229"/>
      <c r="F114" s="229"/>
      <c r="G114" s="229"/>
      <c r="H114" s="229"/>
      <c r="I114" s="229"/>
      <c r="J114" s="229"/>
      <c r="K114" s="229"/>
      <c r="L114" s="229"/>
      <c r="M114" s="229"/>
    </row>
    <row r="115" spans="2:13" x14ac:dyDescent="0.25">
      <c r="B115" s="229"/>
      <c r="C115" s="229"/>
      <c r="D115" s="229"/>
      <c r="E115" s="229"/>
      <c r="F115" s="229"/>
      <c r="G115" s="229"/>
      <c r="H115" s="229"/>
      <c r="I115" s="229"/>
      <c r="J115" s="229"/>
      <c r="K115" s="229"/>
      <c r="L115" s="229"/>
      <c r="M115" s="229"/>
    </row>
    <row r="116" spans="2:13" x14ac:dyDescent="0.25">
      <c r="B116" s="229"/>
      <c r="C116" s="229"/>
      <c r="D116" s="229"/>
      <c r="E116" s="229"/>
      <c r="F116" s="229"/>
      <c r="G116" s="229"/>
      <c r="H116" s="229"/>
      <c r="I116" s="229"/>
      <c r="J116" s="229"/>
      <c r="K116" s="229"/>
      <c r="L116" s="229"/>
      <c r="M116" s="229"/>
    </row>
    <row r="117" spans="2:13" x14ac:dyDescent="0.25">
      <c r="B117" s="229"/>
      <c r="C117" s="229"/>
      <c r="D117" s="229"/>
      <c r="E117" s="229"/>
      <c r="F117" s="229"/>
      <c r="G117" s="229"/>
      <c r="H117" s="229"/>
      <c r="I117" s="229"/>
      <c r="J117" s="229"/>
      <c r="K117" s="229"/>
      <c r="L117" s="229"/>
      <c r="M117" s="229"/>
    </row>
    <row r="118" spans="2:13" x14ac:dyDescent="0.25">
      <c r="B118" s="229"/>
      <c r="C118" s="229"/>
      <c r="D118" s="229"/>
      <c r="E118" s="229"/>
      <c r="F118" s="229"/>
      <c r="G118" s="229"/>
      <c r="H118" s="229"/>
      <c r="I118" s="229"/>
      <c r="J118" s="229"/>
      <c r="K118" s="229"/>
      <c r="L118" s="229"/>
      <c r="M118" s="229"/>
    </row>
    <row r="119" spans="2:13" x14ac:dyDescent="0.25">
      <c r="B119" s="229"/>
      <c r="C119" s="229"/>
      <c r="D119" s="229"/>
      <c r="E119" s="229"/>
      <c r="F119" s="229"/>
      <c r="G119" s="229"/>
      <c r="H119" s="229"/>
      <c r="I119" s="229"/>
      <c r="J119" s="229"/>
      <c r="K119" s="229"/>
      <c r="L119" s="229"/>
      <c r="M119" s="229"/>
    </row>
    <row r="120" spans="2:13" x14ac:dyDescent="0.25">
      <c r="B120" s="229"/>
      <c r="C120" s="229"/>
      <c r="D120" s="229"/>
      <c r="E120" s="229"/>
      <c r="F120" s="229"/>
      <c r="G120" s="229"/>
      <c r="H120" s="229"/>
      <c r="I120" s="229"/>
      <c r="J120" s="229"/>
      <c r="K120" s="229"/>
      <c r="L120" s="229"/>
      <c r="M120" s="229"/>
    </row>
    <row r="121" spans="2:13" x14ac:dyDescent="0.25">
      <c r="B121" s="229"/>
      <c r="C121" s="229"/>
      <c r="D121" s="229"/>
      <c r="E121" s="229"/>
      <c r="F121" s="229"/>
      <c r="G121" s="229"/>
      <c r="H121" s="229"/>
      <c r="I121" s="229"/>
      <c r="J121" s="229"/>
      <c r="K121" s="229"/>
      <c r="L121" s="229"/>
      <c r="M121" s="229"/>
    </row>
    <row r="122" spans="2:13" x14ac:dyDescent="0.25">
      <c r="B122" s="229"/>
      <c r="C122" s="229"/>
      <c r="D122" s="229"/>
      <c r="E122" s="229"/>
      <c r="F122" s="229"/>
      <c r="G122" s="229"/>
      <c r="H122" s="229"/>
      <c r="I122" s="229"/>
      <c r="J122" s="229"/>
      <c r="K122" s="229"/>
      <c r="L122" s="229"/>
      <c r="M122" s="229"/>
    </row>
    <row r="123" spans="2:13" x14ac:dyDescent="0.25">
      <c r="B123" s="229"/>
      <c r="C123" s="229"/>
      <c r="D123" s="229"/>
      <c r="E123" s="229"/>
      <c r="F123" s="229"/>
      <c r="G123" s="229"/>
      <c r="H123" s="229"/>
      <c r="I123" s="229"/>
      <c r="J123" s="229"/>
      <c r="K123" s="229"/>
      <c r="L123" s="229"/>
      <c r="M123" s="229"/>
    </row>
    <row r="124" spans="2:13" x14ac:dyDescent="0.25">
      <c r="B124" s="229"/>
      <c r="C124" s="229"/>
      <c r="D124" s="229"/>
      <c r="E124" s="229"/>
      <c r="F124" s="229"/>
      <c r="G124" s="229"/>
      <c r="H124" s="229"/>
      <c r="I124" s="229"/>
      <c r="J124" s="229"/>
      <c r="K124" s="229"/>
      <c r="L124" s="229"/>
      <c r="M124" s="229"/>
    </row>
    <row r="125" spans="2:13" x14ac:dyDescent="0.25">
      <c r="B125" s="229"/>
      <c r="C125" s="229"/>
      <c r="D125" s="229"/>
      <c r="E125" s="229"/>
      <c r="F125" s="229"/>
      <c r="G125" s="229"/>
      <c r="H125" s="229"/>
      <c r="I125" s="229"/>
      <c r="J125" s="229"/>
      <c r="K125" s="229"/>
      <c r="L125" s="229"/>
      <c r="M125" s="229"/>
    </row>
    <row r="126" spans="2:13" x14ac:dyDescent="0.25">
      <c r="B126" s="229"/>
      <c r="C126" s="229"/>
      <c r="D126" s="229"/>
      <c r="E126" s="229"/>
      <c r="F126" s="229"/>
      <c r="G126" s="229"/>
      <c r="H126" s="229"/>
      <c r="I126" s="229"/>
      <c r="J126" s="229"/>
      <c r="K126" s="229"/>
      <c r="L126" s="229"/>
      <c r="M126" s="229"/>
    </row>
    <row r="127" spans="2:13" x14ac:dyDescent="0.25">
      <c r="B127" s="229"/>
      <c r="C127" s="229"/>
      <c r="D127" s="229"/>
      <c r="E127" s="229"/>
      <c r="F127" s="229"/>
      <c r="G127" s="229"/>
      <c r="H127" s="229"/>
      <c r="I127" s="229"/>
      <c r="J127" s="229"/>
      <c r="K127" s="229"/>
      <c r="L127" s="229"/>
      <c r="M127" s="229"/>
    </row>
    <row r="128" spans="2:13" x14ac:dyDescent="0.25">
      <c r="B128" s="229"/>
      <c r="C128" s="229"/>
      <c r="D128" s="229"/>
      <c r="E128" s="229"/>
      <c r="F128" s="229"/>
      <c r="G128" s="229"/>
      <c r="H128" s="229"/>
      <c r="I128" s="229"/>
      <c r="J128" s="229"/>
      <c r="K128" s="229"/>
      <c r="L128" s="229"/>
      <c r="M128" s="229"/>
    </row>
    <row r="129" spans="2:13" x14ac:dyDescent="0.25">
      <c r="B129" s="229"/>
      <c r="C129" s="229"/>
      <c r="D129" s="229"/>
      <c r="E129" s="229"/>
      <c r="F129" s="229"/>
      <c r="G129" s="229"/>
      <c r="H129" s="229"/>
      <c r="I129" s="229"/>
      <c r="J129" s="229"/>
      <c r="K129" s="229"/>
      <c r="L129" s="229"/>
      <c r="M129" s="229"/>
    </row>
    <row r="130" spans="2:13" x14ac:dyDescent="0.25">
      <c r="B130" s="229"/>
      <c r="C130" s="229"/>
      <c r="D130" s="229"/>
      <c r="E130" s="229"/>
      <c r="F130" s="229"/>
      <c r="G130" s="229"/>
      <c r="H130" s="229"/>
      <c r="I130" s="229"/>
      <c r="J130" s="229"/>
      <c r="K130" s="229"/>
      <c r="L130" s="229"/>
      <c r="M130" s="229"/>
    </row>
    <row r="131" spans="2:13" x14ac:dyDescent="0.25">
      <c r="B131" s="229"/>
      <c r="C131" s="229"/>
      <c r="D131" s="229"/>
      <c r="E131" s="229"/>
      <c r="F131" s="229"/>
      <c r="G131" s="229"/>
      <c r="H131" s="229"/>
      <c r="I131" s="229"/>
      <c r="J131" s="229"/>
      <c r="K131" s="229"/>
      <c r="L131" s="229"/>
      <c r="M131" s="229"/>
    </row>
    <row r="132" spans="2:13" x14ac:dyDescent="0.25">
      <c r="B132" s="229"/>
      <c r="C132" s="229"/>
      <c r="D132" s="229"/>
      <c r="E132" s="229"/>
      <c r="F132" s="229"/>
      <c r="G132" s="229"/>
      <c r="H132" s="229"/>
      <c r="I132" s="229"/>
      <c r="J132" s="229"/>
      <c r="K132" s="229"/>
      <c r="L132" s="229"/>
      <c r="M132" s="229"/>
    </row>
    <row r="133" spans="2:13" x14ac:dyDescent="0.25">
      <c r="B133" s="229"/>
      <c r="C133" s="229"/>
      <c r="D133" s="229"/>
      <c r="E133" s="229"/>
      <c r="F133" s="229"/>
      <c r="G133" s="229"/>
      <c r="H133" s="229"/>
      <c r="I133" s="229"/>
      <c r="J133" s="229"/>
      <c r="K133" s="229"/>
      <c r="L133" s="229"/>
      <c r="M133" s="229"/>
    </row>
  </sheetData>
  <sheetProtection algorithmName="SHA-512" hashValue="xBnKF/fbeWZPu7gJhIdMkrdS299DfRC+84HiR4QYd1ArfY/OVvwVdmrZlI3qmROkGIhRw43zbQhlOe0S9a4Jxw==" saltValue="A0iG052HjNZx0DNYuV9JrA==" spinCount="100000" sheet="1" objects="1" scenarios="1"/>
  <mergeCells count="40">
    <mergeCell ref="B44:M44"/>
    <mergeCell ref="B3:N5"/>
    <mergeCell ref="B7:M7"/>
    <mergeCell ref="B27:M27"/>
    <mergeCell ref="B37:M37"/>
    <mergeCell ref="B40:M40"/>
    <mergeCell ref="B61:M61"/>
    <mergeCell ref="B46:M46"/>
    <mergeCell ref="B47:M47"/>
    <mergeCell ref="B48:M48"/>
    <mergeCell ref="B49:M49"/>
    <mergeCell ref="B50:M50"/>
    <mergeCell ref="B51:M51"/>
    <mergeCell ref="B52:M52"/>
    <mergeCell ref="B53:M53"/>
    <mergeCell ref="B54:M54"/>
    <mergeCell ref="B56:M56"/>
    <mergeCell ref="B58:M58"/>
    <mergeCell ref="B82:M82"/>
    <mergeCell ref="B62:M62"/>
    <mergeCell ref="B63:M63"/>
    <mergeCell ref="B64:M64"/>
    <mergeCell ref="B66:M66"/>
    <mergeCell ref="B72:M72"/>
    <mergeCell ref="B74:N74"/>
    <mergeCell ref="D75:I75"/>
    <mergeCell ref="B76:M76"/>
    <mergeCell ref="B77:M77"/>
    <mergeCell ref="B80:N80"/>
    <mergeCell ref="D81:H81"/>
    <mergeCell ref="D94:J94"/>
    <mergeCell ref="B95:M95"/>
    <mergeCell ref="B96:M96"/>
    <mergeCell ref="B97:M97"/>
    <mergeCell ref="B86:M86"/>
    <mergeCell ref="D87:H87"/>
    <mergeCell ref="B89:M89"/>
    <mergeCell ref="B90:M90"/>
    <mergeCell ref="B91:M91"/>
    <mergeCell ref="B93:N93"/>
  </mergeCells>
  <hyperlinks>
    <hyperlink ref="D75" r:id="rId1" xr:uid="{35763AE7-27C0-486E-9563-448C144C721F}"/>
    <hyperlink ref="D81" r:id="rId2" location="." xr:uid="{19D79D52-910C-4938-84FE-15FA35C6523F}"/>
    <hyperlink ref="D94" r:id="rId3" xr:uid="{6D4F8CD7-2050-4E03-81A3-E5142147B409}"/>
    <hyperlink ref="D87" r:id="rId4" xr:uid="{DE439864-EB48-4016-A1CD-9716E549C29C}"/>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0F8E3-DC30-4251-8DB2-7803AADAE64F}">
  <dimension ref="A2:N16"/>
  <sheetViews>
    <sheetView showRowColHeaders="0" zoomScaleNormal="100" workbookViewId="0">
      <selection activeCell="D7" sqref="D7:K7"/>
    </sheetView>
  </sheetViews>
  <sheetFormatPr defaultColWidth="9.140625" defaultRowHeight="15" x14ac:dyDescent="0.25"/>
  <cols>
    <col min="1" max="1" width="9.140625" style="139"/>
    <col min="2" max="2" width="3.7109375" style="139" customWidth="1"/>
    <col min="3" max="3" width="30.5703125" style="139" customWidth="1"/>
    <col min="4" max="4" width="11.28515625" style="139" bestFit="1" customWidth="1"/>
    <col min="5" max="10" width="9.140625" style="139"/>
    <col min="11" max="11" width="10.28515625" style="139" customWidth="1"/>
    <col min="12" max="12" width="4.140625" style="139" customWidth="1"/>
    <col min="13" max="16384" width="9.140625" style="139"/>
  </cols>
  <sheetData>
    <row r="2" spans="1:14" ht="15.75" thickBot="1" x14ac:dyDescent="0.3"/>
    <row r="3" spans="1:14" ht="15.75" customHeight="1" thickTop="1" x14ac:dyDescent="0.25">
      <c r="B3" s="232" t="s">
        <v>238</v>
      </c>
      <c r="C3" s="233"/>
      <c r="D3" s="233"/>
      <c r="E3" s="233"/>
      <c r="F3" s="233"/>
      <c r="G3" s="233"/>
      <c r="H3" s="233"/>
      <c r="I3" s="233"/>
      <c r="J3" s="233"/>
      <c r="K3" s="233"/>
      <c r="L3" s="234"/>
    </row>
    <row r="4" spans="1:14" ht="15" customHeight="1" x14ac:dyDescent="0.25">
      <c r="B4" s="235"/>
      <c r="C4" s="262"/>
      <c r="D4" s="262"/>
      <c r="E4" s="262"/>
      <c r="F4" s="262"/>
      <c r="G4" s="262"/>
      <c r="H4" s="262"/>
      <c r="I4" s="262"/>
      <c r="J4" s="262"/>
      <c r="K4" s="262"/>
      <c r="L4" s="237"/>
    </row>
    <row r="5" spans="1:14" ht="15" customHeight="1" x14ac:dyDescent="0.25">
      <c r="B5" s="235"/>
      <c r="C5" s="262"/>
      <c r="D5" s="262"/>
      <c r="E5" s="262"/>
      <c r="F5" s="262"/>
      <c r="G5" s="262"/>
      <c r="H5" s="262"/>
      <c r="I5" s="262"/>
      <c r="J5" s="262"/>
      <c r="K5" s="262"/>
      <c r="L5" s="237"/>
    </row>
    <row r="6" spans="1:14" ht="21" customHeight="1" x14ac:dyDescent="0.25">
      <c r="B6" s="133"/>
      <c r="C6" s="150"/>
      <c r="D6" s="150"/>
      <c r="E6" s="150"/>
      <c r="F6" s="150"/>
      <c r="G6" s="150"/>
      <c r="H6" s="150"/>
      <c r="I6" s="150"/>
      <c r="J6" s="150"/>
      <c r="K6" s="150"/>
      <c r="L6" s="121"/>
    </row>
    <row r="7" spans="1:14" ht="18" thickBot="1" x14ac:dyDescent="0.3">
      <c r="A7" s="143"/>
      <c r="B7" s="133"/>
      <c r="C7" s="70" t="s">
        <v>133</v>
      </c>
      <c r="D7" s="263"/>
      <c r="E7" s="263"/>
      <c r="F7" s="263"/>
      <c r="G7" s="263"/>
      <c r="H7" s="263"/>
      <c r="I7" s="263"/>
      <c r="J7" s="263"/>
      <c r="K7" s="263"/>
      <c r="L7" s="152"/>
      <c r="M7" s="147"/>
      <c r="N7" s="143"/>
    </row>
    <row r="8" spans="1:14" ht="35.25" customHeight="1" thickBot="1" x14ac:dyDescent="0.3">
      <c r="A8" s="143"/>
      <c r="B8" s="133"/>
      <c r="C8" s="55" t="s">
        <v>69</v>
      </c>
      <c r="D8" s="264"/>
      <c r="E8" s="264"/>
      <c r="F8" s="264"/>
      <c r="G8" s="264"/>
      <c r="H8" s="264"/>
      <c r="I8" s="264"/>
      <c r="J8" s="264"/>
      <c r="K8" s="264"/>
      <c r="L8" s="151"/>
      <c r="M8" s="143"/>
    </row>
    <row r="9" spans="1:14" ht="39.75" customHeight="1" thickBot="1" x14ac:dyDescent="0.3">
      <c r="A9" s="143"/>
      <c r="B9" s="133"/>
      <c r="C9" s="155" t="s">
        <v>67</v>
      </c>
      <c r="D9" s="264"/>
      <c r="E9" s="264"/>
      <c r="F9" s="264"/>
      <c r="G9" s="264"/>
      <c r="H9" s="264"/>
      <c r="I9" s="264"/>
      <c r="J9" s="264"/>
      <c r="K9" s="264"/>
      <c r="L9" s="153"/>
    </row>
    <row r="10" spans="1:14" ht="97.5" customHeight="1" x14ac:dyDescent="0.25">
      <c r="A10" s="143"/>
      <c r="B10" s="133"/>
      <c r="C10" s="156" t="s">
        <v>68</v>
      </c>
      <c r="D10" s="265"/>
      <c r="E10" s="265"/>
      <c r="F10" s="265"/>
      <c r="G10" s="265"/>
      <c r="H10" s="265"/>
      <c r="I10" s="265"/>
      <c r="J10" s="265"/>
      <c r="K10" s="265"/>
      <c r="L10" s="153"/>
    </row>
    <row r="11" spans="1:14" ht="18.75" customHeight="1" thickBot="1" x14ac:dyDescent="0.3">
      <c r="A11" s="143"/>
      <c r="B11" s="154"/>
      <c r="C11" s="136"/>
      <c r="D11" s="136"/>
      <c r="E11" s="136"/>
      <c r="F11" s="136"/>
      <c r="G11" s="136"/>
      <c r="H11" s="136"/>
      <c r="I11" s="136"/>
      <c r="J11" s="136"/>
      <c r="K11" s="136"/>
      <c r="L11" s="137"/>
    </row>
    <row r="12" spans="1:14" ht="15.75" thickTop="1" x14ac:dyDescent="0.25">
      <c r="A12" s="143"/>
      <c r="B12" s="143"/>
      <c r="C12" s="143"/>
      <c r="D12" s="143"/>
      <c r="E12" s="143"/>
      <c r="F12" s="143"/>
    </row>
    <row r="13" spans="1:14" x14ac:dyDescent="0.25">
      <c r="A13" s="143"/>
      <c r="B13" s="143"/>
      <c r="C13" s="143"/>
      <c r="D13" s="143"/>
      <c r="E13" s="143"/>
      <c r="F13" s="143"/>
    </row>
    <row r="14" spans="1:14" x14ac:dyDescent="0.25">
      <c r="A14" s="143"/>
      <c r="B14" s="143"/>
      <c r="C14" s="143"/>
      <c r="D14" s="143"/>
      <c r="E14" s="143"/>
      <c r="F14" s="143"/>
    </row>
    <row r="15" spans="1:14" x14ac:dyDescent="0.25">
      <c r="A15" s="143"/>
      <c r="B15" s="143"/>
      <c r="C15" s="143"/>
      <c r="D15" s="143"/>
      <c r="E15" s="143"/>
      <c r="F15" s="143"/>
    </row>
    <row r="16" spans="1:14" x14ac:dyDescent="0.25">
      <c r="A16" s="143"/>
      <c r="B16" s="143"/>
      <c r="C16" s="143"/>
      <c r="D16" s="143"/>
      <c r="E16" s="143"/>
      <c r="F16" s="143"/>
    </row>
  </sheetData>
  <sheetProtection algorithmName="SHA-512" hashValue="4UFo3GGfldR2+Ym+U39nDIGGmgFcF/dLukCZ1Jprpk08L8253r/+4jE3jNwipP26Q9n3cl5zSXbWvH9qkd0a8Q==" saltValue="Y8R1uL7KKj5tdqdvtL8MQg==" spinCount="100000" sheet="1" objects="1" scenarios="1" selectLockedCells="1"/>
  <protectedRanges>
    <protectedRange algorithmName="SHA-512" hashValue="SHG10UZqZcCCj1TlE0oMrNwpbuNqhSNbZCwxpw++PI3Kxkmq2fWr9Ho16Rbx5ot4bT8+4oJGur23Sg/eixRu2g==" saltValue="jl/WveE0aj4CwYBOiCOlBg==" spinCount="100000" sqref="D7:K10" name="Range1"/>
  </protectedRanges>
  <mergeCells count="5">
    <mergeCell ref="B3:L5"/>
    <mergeCell ref="D7:K7"/>
    <mergeCell ref="D8:K8"/>
    <mergeCell ref="D9:K9"/>
    <mergeCell ref="D10:K10"/>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5EC83-D5C1-4D5C-99F6-1378213F0706}">
  <dimension ref="A3:N37"/>
  <sheetViews>
    <sheetView showRowColHeaders="0" zoomScaleNormal="100" workbookViewId="0">
      <selection activeCell="D9" sqref="D9"/>
    </sheetView>
  </sheetViews>
  <sheetFormatPr defaultColWidth="9.140625" defaultRowHeight="15" x14ac:dyDescent="0.25"/>
  <cols>
    <col min="1" max="1" width="9.28515625" style="163" customWidth="1"/>
    <col min="2" max="2" width="4.85546875" style="163" customWidth="1"/>
    <col min="3" max="3" width="33.28515625" style="163" customWidth="1"/>
    <col min="4" max="4" width="26.85546875" style="163" customWidth="1"/>
    <col min="5" max="5" width="11.42578125" style="163" customWidth="1"/>
    <col min="6" max="6" width="14.28515625" style="163" customWidth="1"/>
    <col min="7" max="7" width="33.28515625" style="163" customWidth="1"/>
    <col min="8" max="8" width="14.140625" style="163" customWidth="1"/>
    <col min="9" max="9" width="9" style="163" customWidth="1"/>
    <col min="10" max="10" width="2" style="163" customWidth="1"/>
    <col min="11" max="11" width="7.140625" style="163" customWidth="1"/>
    <col min="12" max="16384" width="9.140625" style="163"/>
  </cols>
  <sheetData>
    <row r="3" spans="1:12" x14ac:dyDescent="0.25">
      <c r="A3" s="168"/>
      <c r="B3" s="266" t="s">
        <v>193</v>
      </c>
      <c r="C3" s="267"/>
      <c r="D3" s="267"/>
      <c r="E3" s="267"/>
      <c r="F3" s="267"/>
      <c r="G3" s="267"/>
      <c r="H3" s="267"/>
      <c r="I3" s="267"/>
      <c r="J3" s="268"/>
    </row>
    <row r="4" spans="1:12" x14ac:dyDescent="0.25">
      <c r="A4" s="168"/>
      <c r="B4" s="266"/>
      <c r="C4" s="267"/>
      <c r="D4" s="267"/>
      <c r="E4" s="267"/>
      <c r="F4" s="267"/>
      <c r="G4" s="267"/>
      <c r="H4" s="267"/>
      <c r="I4" s="267"/>
      <c r="J4" s="268"/>
    </row>
    <row r="5" spans="1:12" x14ac:dyDescent="0.25">
      <c r="A5" s="168"/>
      <c r="B5" s="266"/>
      <c r="C5" s="267"/>
      <c r="D5" s="267"/>
      <c r="E5" s="267"/>
      <c r="F5" s="267"/>
      <c r="G5" s="267"/>
      <c r="H5" s="267"/>
      <c r="I5" s="267"/>
      <c r="J5" s="268"/>
      <c r="K5" s="164"/>
      <c r="L5" s="164"/>
    </row>
    <row r="6" spans="1:12" ht="17.25" x14ac:dyDescent="0.25">
      <c r="A6" s="168"/>
      <c r="B6" s="4"/>
      <c r="C6" s="1"/>
      <c r="D6" s="1"/>
      <c r="E6" s="1"/>
      <c r="F6" s="1"/>
      <c r="G6" s="1"/>
      <c r="H6" s="1"/>
      <c r="I6" s="1"/>
      <c r="J6" s="121"/>
      <c r="L6" s="165"/>
    </row>
    <row r="7" spans="1:12" ht="18" customHeight="1" x14ac:dyDescent="0.35">
      <c r="A7" s="168"/>
      <c r="B7" s="4"/>
      <c r="C7" s="271" t="s">
        <v>192</v>
      </c>
      <c r="D7" s="271"/>
      <c r="E7" s="1"/>
      <c r="F7" s="1"/>
      <c r="G7" s="5"/>
      <c r="H7" s="6"/>
      <c r="I7" s="6"/>
      <c r="J7" s="157"/>
      <c r="L7" s="166"/>
    </row>
    <row r="8" spans="1:12" ht="12" customHeight="1" x14ac:dyDescent="0.35">
      <c r="A8" s="168"/>
      <c r="B8" s="4"/>
      <c r="C8" s="1"/>
      <c r="D8" s="1"/>
      <c r="E8" s="1"/>
      <c r="F8" s="1"/>
      <c r="G8" s="3"/>
      <c r="H8" s="3"/>
      <c r="I8" s="3"/>
      <c r="J8" s="158"/>
      <c r="L8" s="166"/>
    </row>
    <row r="9" spans="1:12" ht="22.5" customHeight="1" thickBot="1" x14ac:dyDescent="0.4">
      <c r="A9" s="168"/>
      <c r="B9" s="4"/>
      <c r="C9" s="68" t="s">
        <v>71</v>
      </c>
      <c r="D9" s="111"/>
      <c r="E9" s="1"/>
      <c r="F9" s="1"/>
      <c r="G9" s="1"/>
      <c r="H9" s="80"/>
      <c r="I9" s="3"/>
      <c r="J9" s="158"/>
      <c r="L9" s="166"/>
    </row>
    <row r="10" spans="1:12" ht="21" customHeight="1" thickBot="1" x14ac:dyDescent="0.4">
      <c r="A10" s="168"/>
      <c r="B10" s="4"/>
      <c r="C10" s="67" t="s">
        <v>72</v>
      </c>
      <c r="D10" s="112">
        <v>2.4</v>
      </c>
      <c r="E10" s="7"/>
      <c r="F10" s="7"/>
      <c r="G10" s="270" t="str">
        <f>IFERROR(IF(AND($D$9&lt;DATE(2025,1,1),OR((VLOOKUP($D$13,Lookups!$C$8:$G$20,2,FALSE))&gt;(VLOOKUP($D$13,Lookups!$C$8:$G$20,4,FALSE)),(VLOOKUP($D$13,Lookups!$C$8:$G$20,3,FALSE))&gt;(VLOOKUP($D$13,Lookups!$C$8:$G$20,5,FALSE)))),"A nutrient permit is changing for the selected WwTW as of 01/01/2025. Therefore, two nutrient budgets will be calculated for the loading before and after the 2025 WwTW permit upgrade.",""),"")</f>
        <v/>
      </c>
      <c r="H10" s="80"/>
      <c r="I10" s="3"/>
      <c r="J10" s="158"/>
      <c r="K10" s="165"/>
      <c r="L10" s="167"/>
    </row>
    <row r="11" spans="1:12" ht="30.75" customHeight="1" thickBot="1" x14ac:dyDescent="0.3">
      <c r="A11" s="168"/>
      <c r="B11" s="4"/>
      <c r="C11" s="67" t="s">
        <v>96</v>
      </c>
      <c r="D11" s="113">
        <v>120</v>
      </c>
      <c r="E11" s="8"/>
      <c r="F11" s="8"/>
      <c r="G11" s="270"/>
      <c r="H11" s="80"/>
      <c r="I11" s="8"/>
      <c r="J11" s="151"/>
      <c r="K11" s="166"/>
      <c r="L11" s="167"/>
    </row>
    <row r="12" spans="1:12" ht="36" customHeight="1" thickBot="1" x14ac:dyDescent="0.3">
      <c r="A12" s="168"/>
      <c r="B12" s="1"/>
      <c r="C12" s="67" t="s">
        <v>274</v>
      </c>
      <c r="D12" s="114"/>
      <c r="E12" s="9"/>
      <c r="F12" s="9"/>
      <c r="G12" s="270"/>
      <c r="H12" s="80"/>
      <c r="I12" s="9"/>
      <c r="J12" s="153"/>
      <c r="K12" s="167"/>
    </row>
    <row r="13" spans="1:12" ht="50.25" customHeight="1" thickBot="1" x14ac:dyDescent="0.3">
      <c r="A13" s="168"/>
      <c r="B13" s="1"/>
      <c r="C13" s="69" t="s">
        <v>206</v>
      </c>
      <c r="D13" s="115"/>
      <c r="E13" s="9"/>
      <c r="F13" s="1"/>
      <c r="G13" s="270"/>
      <c r="H13" s="80"/>
      <c r="I13" s="9"/>
      <c r="J13" s="153"/>
      <c r="K13" s="167"/>
    </row>
    <row r="14" spans="1:12" ht="50.25" customHeight="1" x14ac:dyDescent="0.25">
      <c r="A14" s="168"/>
      <c r="B14" s="1"/>
      <c r="C14" s="31" t="s">
        <v>205</v>
      </c>
      <c r="D14" s="201" t="str">
        <f>(IFERROR(IF(OR(D13="Package Treatment Plant user defined",D13="Septic Tank user defined"),"Please enter value in cell to the right:",IF('Stage 1'!D9&lt;DATE(2025,1,1),VLOOKUP('Stage 1'!D13,Lookups!C8:G23,2,FALSE),VLOOKUP('Stage 1'!D13,Lookups!C8:G22,4,FALSE))),""))</f>
        <v/>
      </c>
      <c r="E14" s="116"/>
      <c r="F14" s="81" t="str">
        <f>IFERROR(IF(AND($D$9&lt;DATE(2025,1,1),(VLOOKUP($D$13,Lookups!$C$8:$G$20,2,FALSE))&gt;(VLOOKUP($D$13,Lookups!$C$8:$G$20,4,FALSE))), "Post 2025 WwTW P permit:",""),"")</f>
        <v/>
      </c>
      <c r="G14" s="83" t="str">
        <f>IFERROR(IF(AND($D$9&lt;DATE(2025,1,1),(VLOOKUP($D$13,Lookups!$C$8:$G$20,2,FALSE))&gt;(VLOOKUP($D$13,Lookups!$C$8:$G$20,4,FALSE))), VLOOKUP('Stage 1'!D13,Lookups!C8:G23,4,FALSE),""),"")</f>
        <v/>
      </c>
      <c r="H14" s="26" t="str">
        <f>IFERROR(IF(AND($D$9&lt;DATE(2025,1,1),(VLOOKUP($D$13,Lookups!$C$8:$G$20,2,FALSE))&gt;(VLOOKUP($D$13,Lookups!$C$8:$G$20,4,FALSE))), "mg TP/litre",""),"")</f>
        <v/>
      </c>
      <c r="I14" s="9"/>
      <c r="J14" s="121"/>
      <c r="K14" s="167"/>
    </row>
    <row r="15" spans="1:12" ht="50.25" hidden="1" customHeight="1" x14ac:dyDescent="0.25">
      <c r="A15" s="168"/>
      <c r="B15" s="1"/>
      <c r="C15" s="66" t="s">
        <v>207</v>
      </c>
      <c r="D15" s="79" t="str">
        <f>IFERROR(IF(OR(D13="Package Treatment Plant user defined",D13="Septic Tank user defined"),"Please enter value in cell to the right:",IF('Stage 1'!D9&lt;DATE(2025,1,1),VLOOKUP('Stage 1'!D13,Lookups!C8:G23, 3,FALSE), VLOOKUP('Stage 1'!D13,Lookups!C8:G22, 5,FALSE))),"")</f>
        <v/>
      </c>
      <c r="E15" s="116"/>
      <c r="F15" s="82" t="str">
        <f>IFERROR(IF(AND($D$9&lt;DATE(2025,1,1),(VLOOKUP($D$13,Lookups!$C$8:$G$20,3,FALSE))&gt;(VLOOKUP($D$13,Lookups!$C$8:$G$20,5,FALSE))), "Post 2025 WwTW N permit:",""),"")</f>
        <v/>
      </c>
      <c r="G15" s="83" t="str">
        <f>IFERROR(IF(AND($D$9&lt;DATE(2025,1,1),(VLOOKUP($D$13,Lookups!$C$8:$G$20,3,FALSE))&gt;(VLOOKUP($D$13,Lookups!$C$8:$G$20,5,FALSE))), VLOOKUP('Stage 1'!D13,Lookups!$C$8:$G$23,5,FALSE),""),"")</f>
        <v/>
      </c>
      <c r="H15" s="26" t="str">
        <f>IFERROR(IF(AND($D$9&lt;DATE(2025,1,1),(VLOOKUP($D$13,Lookups!$C$8:$G$20,3,FALSE))&gt;(VLOOKUP($D$13,Lookups!$C$8:$G$20,5,FALSE))), "mg TN/litre",""),"")</f>
        <v/>
      </c>
      <c r="I15" s="9"/>
      <c r="J15" s="153"/>
      <c r="K15" s="167"/>
    </row>
    <row r="16" spans="1:12" ht="18" customHeight="1" x14ac:dyDescent="0.25">
      <c r="A16" s="168"/>
      <c r="B16" s="1"/>
      <c r="C16" s="1"/>
      <c r="D16" s="4"/>
      <c r="E16" s="1"/>
      <c r="F16" s="1"/>
      <c r="G16" s="1"/>
      <c r="H16" s="1"/>
      <c r="I16" s="1"/>
      <c r="J16" s="121"/>
    </row>
    <row r="17" spans="1:14" ht="18" x14ac:dyDescent="0.25">
      <c r="A17" s="168"/>
      <c r="B17" s="1"/>
      <c r="C17" s="271" t="s">
        <v>191</v>
      </c>
      <c r="D17" s="271"/>
      <c r="E17" s="1"/>
      <c r="F17" s="1"/>
      <c r="G17" s="1"/>
      <c r="H17" s="1"/>
      <c r="I17" s="1"/>
      <c r="J17" s="121"/>
    </row>
    <row r="18" spans="1:14" x14ac:dyDescent="0.25">
      <c r="A18" s="168"/>
      <c r="B18" s="1"/>
      <c r="C18" s="1"/>
      <c r="D18" s="1"/>
      <c r="E18" s="1"/>
      <c r="F18" s="1"/>
      <c r="G18" s="1"/>
      <c r="H18" s="1"/>
      <c r="I18" s="1"/>
      <c r="J18" s="159"/>
    </row>
    <row r="19" spans="1:14" ht="3.75" customHeight="1" x14ac:dyDescent="0.25">
      <c r="A19" s="168"/>
      <c r="B19" s="1"/>
      <c r="C19" s="1"/>
      <c r="D19" s="1"/>
      <c r="E19" s="1"/>
      <c r="F19" s="1"/>
      <c r="G19" s="1"/>
      <c r="H19" s="1"/>
      <c r="I19" s="1"/>
      <c r="J19" s="159"/>
      <c r="N19" s="163" t="s">
        <v>134</v>
      </c>
    </row>
    <row r="20" spans="1:14" ht="17.25" x14ac:dyDescent="0.3">
      <c r="A20" s="168"/>
      <c r="B20" s="1"/>
      <c r="C20" s="269" t="str">
        <f>IFERROR(IF(AND($D$9&lt;DATE(2025,1,1),OR((VLOOKUP($D$13,Lookups!$C$8:$G$20,2,FALSE))&gt;(VLOOKUP($D$13,Lookups!$C$8:$G$20,4,FALSE)),(VLOOKUP($D$13,Lookups!$C$8:$G$20,3,FALSE))&gt;(VLOOKUP($D$13,Lookups!$C$8:$G$20,5,FALSE)))),"Post-2025 Stage 1 Nutrient Loading","Stage 1 Nutrient Loading"),"")</f>
        <v/>
      </c>
      <c r="D20" s="269"/>
      <c r="E20" s="1"/>
      <c r="F20" s="1"/>
      <c r="G20" s="269" t="str">
        <f>IFERROR(IF(AND($D$9&lt;DATE(2025,1,1),OR((VLOOKUP($D$13,Lookups!$C$8:$G$20,2,FALSE))&gt;(VLOOKUP($D$13,Lookups!$C$8:$G$20,4,FALSE)),(VLOOKUP($D$13,Lookups!$C$8:$G$20,3,FALSE))&gt;(VLOOKUP($D$13,Lookups!$C$8:$G$20,5,FALSE)))),"Pre-2025 Stage 1 Nutrient Loading",""),"")</f>
        <v/>
      </c>
      <c r="H20" s="269"/>
      <c r="I20" s="1"/>
      <c r="J20" s="121"/>
    </row>
    <row r="21" spans="1:14" x14ac:dyDescent="0.25">
      <c r="A21" s="168"/>
      <c r="B21" s="1"/>
      <c r="C21" s="1"/>
      <c r="D21" s="1"/>
      <c r="E21" s="1"/>
      <c r="F21" s="1"/>
      <c r="G21" s="1"/>
      <c r="H21" s="1"/>
      <c r="I21" s="1"/>
      <c r="J21" s="159"/>
    </row>
    <row r="22" spans="1:14" ht="17.25" thickBot="1" x14ac:dyDescent="0.35">
      <c r="A22" s="168"/>
      <c r="B22" s="1"/>
      <c r="C22" s="57" t="s">
        <v>73</v>
      </c>
      <c r="D22" s="58" t="str">
        <f>IF(ISBLANK(D12),"",D10*D12)</f>
        <v/>
      </c>
      <c r="E22" s="28" t="s">
        <v>137</v>
      </c>
      <c r="F22" s="1"/>
      <c r="G22" s="20" t="str">
        <f>IFERROR(IF(AND($D$9&lt;DATE(2025,1,1),OR((VLOOKUP($D$13,Lookups!$C$8:$G$20,2,FALSE))&gt;(VLOOKUP($D$13,Lookups!$C$8:$G$20,4,FALSE)),(VLOOKUP($D$13,Lookups!$C$8:$G$20,3,FALSE))&gt;(VLOOKUP($D$13,Lookups!$C$8:$G$20,5,FALSE)))),"Annual wastewater TP load:",""),"")</f>
        <v/>
      </c>
      <c r="H22" s="21" t="str">
        <f>IFERROR(IF(AND($D$9&lt;DATE(2025,1,1),OR((VLOOKUP($D$13,Lookups!$C$8:$G$20,2,FALSE))&gt;(VLOOKUP($D$13,Lookups!$C$8:$G$20,4,FALSE)),(VLOOKUP($D$13,Lookups!$C$8:$G$20,3,FALSE))&gt;(VLOOKUP($D$13,Lookups!$C$8:$G$20,5,FALSE)))),IF(D14=8,(D14*D$23)/1000000*365.25,(D14*D$23*0.9)/1000000*365.25),""),"")</f>
        <v/>
      </c>
      <c r="I22" s="28" t="str">
        <f>IFERROR(IF(AND($D$9&lt;DATE(2025,1,1),OR((VLOOKUP($D$13,Lookups!$C$8:$G$20,2,FALSE))&gt;(VLOOKUP($D$13,Lookups!$C$8:$G$20,4,FALSE)),(VLOOKUP($D$13,Lookups!$C$8:$G$20,3,FALSE))&gt;(VLOOKUP($D$13,Lookups!$C$8:$G$20,5,FALSE)))),"kg TP/yr",""),"")</f>
        <v/>
      </c>
      <c r="J22" s="160"/>
    </row>
    <row r="23" spans="1:14" ht="15.75" thickBot="1" x14ac:dyDescent="0.3">
      <c r="A23" s="168"/>
      <c r="B23" s="1"/>
      <c r="C23" s="27" t="s">
        <v>74</v>
      </c>
      <c r="D23" s="56" t="str">
        <f>IFERROR(D22*D11,"")</f>
        <v/>
      </c>
      <c r="E23" s="28" t="s">
        <v>75</v>
      </c>
      <c r="F23" s="1"/>
      <c r="G23" s="202"/>
      <c r="H23" s="202"/>
      <c r="I23" s="202"/>
      <c r="J23" s="121"/>
    </row>
    <row r="24" spans="1:14" hidden="1" x14ac:dyDescent="0.25">
      <c r="A24" s="168"/>
      <c r="B24" s="1"/>
      <c r="C24" s="1"/>
      <c r="D24" s="1"/>
      <c r="E24" s="84"/>
      <c r="F24" s="1"/>
      <c r="G24" s="1"/>
      <c r="H24" s="1"/>
      <c r="I24" s="84"/>
      <c r="J24" s="121"/>
    </row>
    <row r="25" spans="1:14" hidden="1" x14ac:dyDescent="0.25">
      <c r="A25" s="168"/>
      <c r="B25" s="1"/>
      <c r="C25" s="4"/>
      <c r="D25" s="4"/>
      <c r="E25" s="84"/>
      <c r="F25" s="1"/>
      <c r="G25" s="87"/>
      <c r="H25" s="87"/>
      <c r="I25" s="88"/>
      <c r="J25" s="161"/>
      <c r="K25" s="164"/>
    </row>
    <row r="26" spans="1:14" ht="15.75" hidden="1" thickBot="1" x14ac:dyDescent="0.3">
      <c r="A26" s="168"/>
      <c r="B26" s="1"/>
      <c r="C26" s="57" t="s">
        <v>76</v>
      </c>
      <c r="D26" s="58" t="str">
        <f>IFERROR(IF(ISNUMBER(G14),G14*D23*0.9,IF(D14="Please enter value in cell to the right:",IF(AND(D14="Please enter value in cell to the right:",ISNUMBER(E14)),D23*E14, VLOOKUP((LEFT(D13,(LEN(D13)-13))&amp;" default"),Lookups!$C$19:$E$20,2,FALSE)*D23),IF(OR(D13="Package Treatment Plant default",D13="Septic Tank default"),D14*D23,IF(D14=8,D14*D23,D14*D23*0.9)))),"")</f>
        <v/>
      </c>
      <c r="E26" s="28" t="s">
        <v>77</v>
      </c>
      <c r="F26" s="1"/>
      <c r="G26" s="89"/>
      <c r="H26" s="87"/>
      <c r="I26" s="87"/>
      <c r="J26" s="162"/>
      <c r="K26" s="164"/>
    </row>
    <row r="27" spans="1:14" ht="15.75" hidden="1" thickBot="1" x14ac:dyDescent="0.3">
      <c r="A27" s="168"/>
      <c r="B27" s="1"/>
      <c r="C27" s="27" t="s">
        <v>78</v>
      </c>
      <c r="D27" s="56" t="str">
        <f>IFERROR($D$26/1000000,"")</f>
        <v/>
      </c>
      <c r="E27" s="28" t="s">
        <v>79</v>
      </c>
      <c r="F27" s="1"/>
      <c r="G27" s="89"/>
      <c r="H27" s="93"/>
      <c r="I27" s="90"/>
      <c r="J27" s="162"/>
      <c r="K27" s="164"/>
    </row>
    <row r="28" spans="1:14" ht="15.75" hidden="1" thickBot="1" x14ac:dyDescent="0.3">
      <c r="A28" s="168"/>
      <c r="B28" s="1"/>
      <c r="C28" s="59" t="s">
        <v>80</v>
      </c>
      <c r="D28" s="61" t="str">
        <f>IFERROR($D$27*365.25,"")</f>
        <v/>
      </c>
      <c r="E28" s="28" t="s">
        <v>81</v>
      </c>
      <c r="F28" s="1"/>
      <c r="G28" s="89"/>
      <c r="H28" s="94"/>
      <c r="I28" s="90"/>
      <c r="J28" s="162"/>
      <c r="K28" s="164"/>
    </row>
    <row r="29" spans="1:14" x14ac:dyDescent="0.25">
      <c r="A29" s="168"/>
      <c r="B29" s="1"/>
      <c r="C29" s="60" t="s">
        <v>135</v>
      </c>
      <c r="D29" s="62" t="str">
        <f>D28</f>
        <v/>
      </c>
      <c r="E29" s="85" t="s">
        <v>81</v>
      </c>
      <c r="F29" s="1"/>
      <c r="G29" s="91"/>
      <c r="H29" s="95"/>
      <c r="I29" s="92"/>
      <c r="J29" s="162"/>
      <c r="K29" s="164"/>
    </row>
    <row r="30" spans="1:14" x14ac:dyDescent="0.25">
      <c r="A30" s="168"/>
      <c r="B30" s="1"/>
      <c r="C30" s="1"/>
      <c r="D30" s="1"/>
      <c r="E30" s="84"/>
      <c r="F30" s="1"/>
      <c r="G30" s="87"/>
      <c r="H30" s="87"/>
      <c r="I30" s="88"/>
      <c r="J30" s="162"/>
      <c r="K30" s="164"/>
    </row>
    <row r="31" spans="1:14" x14ac:dyDescent="0.25">
      <c r="A31" s="168"/>
      <c r="B31" s="1"/>
      <c r="C31" s="1"/>
      <c r="D31" s="1"/>
      <c r="E31" s="84"/>
      <c r="F31" s="1"/>
      <c r="G31" s="87"/>
      <c r="H31" s="87"/>
      <c r="I31" s="88"/>
      <c r="J31" s="162"/>
      <c r="K31" s="164"/>
    </row>
    <row r="32" spans="1:14" ht="15.75" hidden="1" thickBot="1" x14ac:dyDescent="0.3">
      <c r="A32" s="168"/>
      <c r="B32" s="1"/>
      <c r="C32" s="27" t="s">
        <v>101</v>
      </c>
      <c r="D32" s="56" t="str">
        <f>IFERROR(IF(ISNUMBER(G15),G15*D23*0.9,IF(D15="Please enter value in cell to the right:",IF(AND(D15="Please enter value in cell to the right:",ISNUMBER(E15)),D23*E15, VLOOKUP((LEFT(D13,(LEN(D13)-13))&amp;" default"),Lookups!$C$19:$E$20,3,FALSE)*D23),IF(OR(D13="Package Treatment Plant default",D13="Septic Tank default"),D15*D23,IF(D15=27,D15*D23,D15*D23*0.9)))),"")</f>
        <v/>
      </c>
      <c r="E32" s="28" t="s">
        <v>102</v>
      </c>
      <c r="F32" s="1"/>
      <c r="G32" s="89"/>
      <c r="H32" s="93"/>
      <c r="I32" s="90"/>
      <c r="J32" s="162"/>
      <c r="K32" s="164"/>
    </row>
    <row r="33" spans="1:11" ht="15.75" hidden="1" thickBot="1" x14ac:dyDescent="0.3">
      <c r="A33" s="168"/>
      <c r="B33" s="1"/>
      <c r="C33" s="63" t="s">
        <v>105</v>
      </c>
      <c r="D33" s="64" t="str">
        <f>IFERROR($D$32/1000000,"")</f>
        <v/>
      </c>
      <c r="E33" s="28" t="s">
        <v>103</v>
      </c>
      <c r="F33" s="1"/>
      <c r="G33" s="89"/>
      <c r="H33" s="93"/>
      <c r="I33" s="90"/>
      <c r="J33" s="162"/>
      <c r="K33" s="164"/>
    </row>
    <row r="34" spans="1:11" ht="15.75" hidden="1" thickBot="1" x14ac:dyDescent="0.3">
      <c r="A34" s="168"/>
      <c r="B34" s="1"/>
      <c r="C34" s="63" t="s">
        <v>106</v>
      </c>
      <c r="D34" s="65" t="str">
        <f>IFERROR($D$33*365.25,"")</f>
        <v/>
      </c>
      <c r="E34" s="28" t="s">
        <v>104</v>
      </c>
      <c r="F34" s="1"/>
      <c r="G34" s="89"/>
      <c r="H34" s="94"/>
      <c r="I34" s="90"/>
      <c r="J34" s="162"/>
      <c r="K34" s="164"/>
    </row>
    <row r="35" spans="1:11" hidden="1" x14ac:dyDescent="0.25">
      <c r="A35" s="168"/>
      <c r="B35" s="1"/>
      <c r="C35" s="217" t="s">
        <v>136</v>
      </c>
      <c r="D35" s="218" t="str">
        <f>D34</f>
        <v/>
      </c>
      <c r="E35" s="217" t="s">
        <v>104</v>
      </c>
      <c r="F35" s="1"/>
      <c r="G35" s="20" t="str">
        <f>IFERROR(IF(AND($D$9&lt;DATE(2025,1,1),OR((VLOOKUP($D$13,Lookups!$C$8:$G$20,2,FALSE))&gt;(VLOOKUP($D$13,Lookups!$C$8:$G$20,4,FALSE)),(VLOOKUP($D$13,Lookups!$C$8:$G$20,3,FALSE))&gt;(VLOOKUP($D$13,Lookups!$C$8:$G$20,5,FALSE)))),"Annual wastewater TN load:",""),"")</f>
        <v/>
      </c>
      <c r="H35" s="21" t="str">
        <f>IFERROR(IF(AND($D$9&lt;DATE(2025,1,1),OR((VLOOKUP($D$13,Lookups!$C$8:$G$20,2,FALSE))&gt;(VLOOKUP($D$13,Lookups!$C$8:$G$20,4,FALSE)),(VLOOKUP($D$13,Lookups!$C$8:$G$20,3,FALSE))&gt;(VLOOKUP($D$13,Lookups!$C$8:$G$20,5,FALSE)))),(D15*D$23*0.9)/1000000*365.25,""),"")</f>
        <v/>
      </c>
      <c r="I35" s="28" t="str">
        <f>IFERROR(IF(AND($D$9&lt;DATE(2025,1,1),OR((VLOOKUP($D$13,Lookups!$C$8:$G$20,2,FALSE))&gt;(VLOOKUP($D$13,Lookups!$C$8:$G$20,4,FALSE)),(VLOOKUP($D$13,Lookups!$C$8:$G$20,3,FALSE))&gt;(VLOOKUP($D$13,Lookups!$C$8:$G$20,5,FALSE)))),"kg TN/yr",""),"")</f>
        <v/>
      </c>
      <c r="J35" s="162"/>
      <c r="K35" s="164"/>
    </row>
    <row r="36" spans="1:11" ht="15.75" thickBot="1" x14ac:dyDescent="0.3">
      <c r="A36" s="168"/>
      <c r="B36" s="154"/>
      <c r="C36" s="136"/>
      <c r="D36" s="136"/>
      <c r="E36" s="136"/>
      <c r="F36" s="136"/>
      <c r="G36" s="136"/>
      <c r="H36" s="136"/>
      <c r="I36" s="136"/>
      <c r="J36" s="137"/>
    </row>
    <row r="37" spans="1:11" ht="15.75" thickTop="1" x14ac:dyDescent="0.25"/>
  </sheetData>
  <sheetProtection algorithmName="SHA-512" hashValue="WzrK0bC5vNV6swfzEsJEPnUW5EjWqgkh+zLZERJlK3TQ1I2mcNF7R4O8pMxYOGX7T9RgWBuQSvx8LYTSJXm0Eg==" saltValue="UE6biBc5sm/Thg+47DWsMw==" spinCount="100000" sheet="1" selectLockedCells="1"/>
  <protectedRanges>
    <protectedRange algorithmName="SHA-512" hashValue="9eFLYwbQxhpezS4HULhG7iBaGmH5LoseTU2XnhelcWF+/l82pYUC3srt3byn/vuneXy5XFyZVPQbagh6SLqRzQ==" saltValue="CEix3VmL8kRrd4op8qAhjg==" spinCount="100000" sqref="E14:E15 D9:D13" name="Range1"/>
  </protectedRanges>
  <mergeCells count="6">
    <mergeCell ref="B3:J5"/>
    <mergeCell ref="C20:D20"/>
    <mergeCell ref="G20:H20"/>
    <mergeCell ref="G10:G13"/>
    <mergeCell ref="C17:D17"/>
    <mergeCell ref="C7:D7"/>
  </mergeCells>
  <conditionalFormatting sqref="E14:E15">
    <cfRule type="expression" dxfId="9" priority="10">
      <formula>OR(ISNUMBER($D$15),ISBLANK($D$13))</formula>
    </cfRule>
    <cfRule type="expression" dxfId="8" priority="11">
      <formula>($D$15="Please enter value in cell to the right:")</formula>
    </cfRule>
  </conditionalFormatting>
  <conditionalFormatting sqref="G14">
    <cfRule type="expression" dxfId="7" priority="5">
      <formula>ISNUMBER($G$14)</formula>
    </cfRule>
  </conditionalFormatting>
  <conditionalFormatting sqref="G10 H9:H15">
    <cfRule type="expression" dxfId="6" priority="12">
      <formula>_xlfn.ISFORMULA($G$10)</formula>
    </cfRule>
    <cfRule type="expression" dxfId="5" priority="13">
      <formula>ISTEXT($G$10)</formula>
    </cfRule>
  </conditionalFormatting>
  <conditionalFormatting sqref="G15">
    <cfRule type="expression" dxfId="4" priority="4">
      <formula>ISNUMBER($G$15)</formula>
    </cfRule>
  </conditionalFormatting>
  <conditionalFormatting sqref="H22">
    <cfRule type="expression" dxfId="3" priority="2">
      <formula>ISNUMBER($H$22)</formula>
    </cfRule>
  </conditionalFormatting>
  <conditionalFormatting sqref="H35">
    <cfRule type="expression" dxfId="2" priority="1">
      <formula>ISNUMBER(H35)</formula>
    </cfRule>
  </conditionalFormatting>
  <dataValidations count="4">
    <dataValidation type="date" operator="greaterThan" allowBlank="1" showInputMessage="1" showErrorMessage="1" errorTitle="Date Error" error="Please enter a date after 01/01/2022 date in correct dd/mm/yyyy format." prompt="Enter date as dd/mm/yyyy format. " sqref="D9" xr:uid="{515E4566-AFB5-4866-94DE-CB431AAF4C1A}">
      <formula1>44562</formula1>
    </dataValidation>
    <dataValidation type="decimal" operator="greaterThan" showInputMessage="1" showErrorMessage="1" prompt="The average occupancy rate (people per dwelling/unit) should not be edited unless there is sufficient evidence." sqref="D10" xr:uid="{31DEF3BB-E2E5-4E5C-BF5A-2425D3EB9410}">
      <formula1>0</formula1>
    </dataValidation>
    <dataValidation type="whole" operator="greaterThan" showInputMessage="1" showErrorMessage="1" errorTitle="Water usage:" error="Please enter a whole number in litres/person/day" prompt="Keep as 120 unless other efficiency measures are used. " sqref="D11" xr:uid="{A8EA6526-60C6-4C2D-9A44-9CEB14D43876}">
      <formula1>0</formula1>
    </dataValidation>
    <dataValidation type="whole" operator="greaterThan" allowBlank="1" showInputMessage="1" showErrorMessage="1" errorTitle="Development proposal" error="Please ensure that the total number of dwellings is entered as a whole number" prompt="Please enter the total number of dwellings/units that will be within the development site as of the project completion date." sqref="D12" xr:uid="{87F490E9-C1CC-4992-A666-0F3B65B428BF}">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6E0497B-089C-459A-B2E2-C8A2AF71C14C}">
          <x14:formula1>
            <xm:f>'C:\Users\DS56\OneDrive - Ricardo Plc\NE NN\[Copy of Herefordshire Council Phosphate Budget Calculator_Final.xlsx]Stage 2 and 3 lookups'!#REF!</xm:f>
          </x14:formula1>
          <xm:sqref>J8:J10</xm:sqref>
        </x14:dataValidation>
        <x14:dataValidation type="list" allowBlank="1" showInputMessage="1" showErrorMessage="1" xr:uid="{2060F248-1654-4F8C-B1B2-CB874E476D6E}">
          <x14:formula1>
            <xm:f>Lookups!$C$8:$C$22</xm:f>
          </x14:formula1>
          <xm:sqref>D13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8DE7-889B-4390-AD2D-86928A13748B}">
  <dimension ref="A3:J34"/>
  <sheetViews>
    <sheetView showRowColHeaders="0" zoomScaleNormal="100" workbookViewId="0">
      <selection activeCell="E9" sqref="E9"/>
    </sheetView>
  </sheetViews>
  <sheetFormatPr defaultColWidth="9.140625" defaultRowHeight="15" x14ac:dyDescent="0.25"/>
  <cols>
    <col min="1" max="1" width="9.140625" style="139"/>
    <col min="2" max="2" width="4.7109375" style="139" customWidth="1"/>
    <col min="3" max="3" width="32.140625" style="139" customWidth="1"/>
    <col min="4" max="4" width="8.42578125" style="139" bestFit="1" customWidth="1"/>
    <col min="5" max="5" width="21.140625" style="139" customWidth="1"/>
    <col min="6" max="6" width="17.7109375" style="139" hidden="1" customWidth="1"/>
    <col min="7" max="7" width="5.42578125" style="139" customWidth="1"/>
    <col min="8" max="8" width="8.140625" style="139" customWidth="1"/>
    <col min="9" max="9" width="9.140625" style="139" customWidth="1"/>
    <col min="10" max="10" width="26.140625" style="139" customWidth="1"/>
    <col min="11" max="16384" width="9.140625" style="139"/>
  </cols>
  <sheetData>
    <row r="3" spans="1:10" x14ac:dyDescent="0.25">
      <c r="A3" s="140"/>
      <c r="B3" s="266" t="s">
        <v>196</v>
      </c>
      <c r="C3" s="275"/>
      <c r="D3" s="275"/>
      <c r="E3" s="275"/>
      <c r="F3" s="275"/>
      <c r="G3" s="268"/>
    </row>
    <row r="4" spans="1:10" x14ac:dyDescent="0.25">
      <c r="A4" s="140"/>
      <c r="B4" s="266"/>
      <c r="C4" s="275"/>
      <c r="D4" s="275"/>
      <c r="E4" s="275"/>
      <c r="F4" s="275"/>
      <c r="G4" s="268"/>
    </row>
    <row r="5" spans="1:10" x14ac:dyDescent="0.25">
      <c r="A5" s="140"/>
      <c r="B5" s="266"/>
      <c r="C5" s="275"/>
      <c r="D5" s="275"/>
      <c r="E5" s="275"/>
      <c r="F5" s="275"/>
      <c r="G5" s="268"/>
    </row>
    <row r="6" spans="1:10" ht="17.25" x14ac:dyDescent="0.25">
      <c r="A6" s="140"/>
      <c r="B6" s="4"/>
      <c r="C6" s="1"/>
      <c r="D6" s="1"/>
      <c r="E6" s="1"/>
      <c r="F6" s="1"/>
      <c r="G6" s="152"/>
    </row>
    <row r="7" spans="1:10" ht="18" customHeight="1" x14ac:dyDescent="0.25">
      <c r="A7" s="140"/>
      <c r="B7" s="4"/>
      <c r="C7" s="276" t="s">
        <v>192</v>
      </c>
      <c r="D7" s="276"/>
      <c r="E7" s="276"/>
      <c r="F7" s="276"/>
      <c r="G7" s="151"/>
    </row>
    <row r="8" spans="1:10" ht="12" customHeight="1" x14ac:dyDescent="0.25">
      <c r="A8" s="140"/>
      <c r="B8" s="4"/>
      <c r="C8" s="1"/>
      <c r="D8" s="1"/>
      <c r="E8" s="1"/>
      <c r="F8" s="1"/>
      <c r="G8" s="151"/>
    </row>
    <row r="9" spans="1:10" ht="18" thickBot="1" x14ac:dyDescent="0.3">
      <c r="A9" s="140"/>
      <c r="B9" s="4"/>
      <c r="C9" s="273" t="s">
        <v>70</v>
      </c>
      <c r="D9" s="273"/>
      <c r="E9" s="104"/>
      <c r="F9" s="1"/>
      <c r="G9" s="151"/>
    </row>
    <row r="10" spans="1:10" ht="18" thickBot="1" x14ac:dyDescent="0.3">
      <c r="A10" s="140"/>
      <c r="B10" s="4"/>
      <c r="C10" s="274" t="s">
        <v>82</v>
      </c>
      <c r="D10" s="274"/>
      <c r="E10" s="105"/>
      <c r="F10" s="1"/>
      <c r="G10" s="153"/>
    </row>
    <row r="11" spans="1:10" ht="18" thickBot="1" x14ac:dyDescent="0.3">
      <c r="A11" s="140"/>
      <c r="B11" s="4"/>
      <c r="C11" s="274" t="s">
        <v>208</v>
      </c>
      <c r="D11" s="274"/>
      <c r="E11" s="106"/>
      <c r="F11" s="1"/>
      <c r="G11" s="153"/>
    </row>
    <row r="12" spans="1:10" x14ac:dyDescent="0.25">
      <c r="A12" s="140"/>
      <c r="B12" s="1"/>
      <c r="C12" s="272" t="s">
        <v>209</v>
      </c>
      <c r="D12" s="272"/>
      <c r="E12" s="107"/>
      <c r="F12" s="1"/>
      <c r="G12" s="121"/>
    </row>
    <row r="13" spans="1:10" x14ac:dyDescent="0.25">
      <c r="A13" s="140"/>
      <c r="B13" s="1"/>
      <c r="C13" s="1"/>
      <c r="D13" s="1"/>
      <c r="E13" s="1"/>
      <c r="F13" s="1"/>
      <c r="G13" s="121"/>
    </row>
    <row r="14" spans="1:10" ht="63" customHeight="1" thickBot="1" x14ac:dyDescent="0.3">
      <c r="A14" s="140"/>
      <c r="B14" s="1"/>
      <c r="C14" s="72" t="s">
        <v>144</v>
      </c>
      <c r="D14" s="73" t="s">
        <v>97</v>
      </c>
      <c r="E14" s="196" t="s">
        <v>194</v>
      </c>
      <c r="F14" s="74" t="s">
        <v>195</v>
      </c>
      <c r="G14" s="121"/>
    </row>
    <row r="15" spans="1:10" x14ac:dyDescent="0.25">
      <c r="A15" s="140"/>
      <c r="B15" s="1"/>
      <c r="C15" s="108"/>
      <c r="D15" s="188"/>
      <c r="E15" s="198" t="str">
        <f>IF(OR(ISBLANK($C15),ISBLANK($D15),ISBLANK($E$10),ISBLANK($E$11)),"",IFERROR($D15*VLOOKUP((IF(OR($C15="Residential urban land",$C15="Commercial/industrial urban land",$C15="Open urban land",$C15="Greenspace",$C15="Community food growing",$C15="Woodland",$C15="Shrub", $C15="Water"), "|||"&amp;$C15, (VLOOKUP('Stage 2'!$E$9,Lookups!$C$140:$D$140,2,FALSE)&amp;"|"&amp;$C15&amp;"|"&amp;VLOOKUP('Stage 2'!$E$12,Lookups!$C$154:$D$155,2,FALSE)&amp;"|"&amp;VLOOKUP('Stage 2'!$E$11,Lookups!$C$114:$E$136,3,FALSE)&amp;"|"&amp;VLOOKUP($E$10,Lookups!$C$145:$D$150,2,FALSE)))),Lookups!$H$26:$J$110,2,FALSE),
IFERROR(IFERROR($D15*VLOOKUP($C15&amp;"|"&amp;VLOOKUP('Stage 2'!$E$12,Lookups!$C$154:$D$155,2,FALSE)&amp;"|"&amp;VLOOKUP('Stage 2'!$E$11,Lookups!$C$114:$E$136,3,FALSE)&amp;"|"&amp;VLOOKUP($E$10,Lookups!$C$145:$D$150,2,FALSE),Lookups!$H$26:$J$110,2,FALSE),IFERROR($D15*VLOOKUP($C15&amp;"|"&amp;"TRUE"&amp;"|"&amp;VLOOKUP('Stage 2'!$E$11,Lookups!$C$114:$E$136,3,FALSE)&amp;"|"&amp;VLOOKUP($E$10,Lookups!$C$145:$D$150,2,FALSE),Lookups!$H$26:$J$110,2,FALSE),$D15*VLOOKUP($C15&amp;"|"&amp;VLOOKUP('Stage 2'!$E$12,Lookups!$C$154:$D$155,2,FALSE)&amp;"|"&amp;VLOOKUP('Stage 2'!$E$11,Lookups!$C$114:$E$136,3,FALSE)&amp;"|"&amp;"DrainedArGr",Lookups!$H$26:$J$110,2,FALSE))),IFERROR($D15*VLOOKUP($C15&amp;"|"&amp;VLOOKUP('Stage 2'!$E$11,Lookups!$C$114:$E$136,3,FALSE),Lookups!$K$26:$M$102,2,FALSE),$D15*VLOOKUP($C15,Lookups!$D$26:$O$102,11,FALSE)))))</f>
        <v/>
      </c>
      <c r="F15" s="187" t="str">
        <f>IF(OR(ISBLANK($C15),ISBLANK($D15),ISBLANK($E$10),ISBLANK($E$11)),"",IFERROR($D15*VLOOKUP((IF(OR($C15="Residential urban land",$C15="Commercial/industrial urban land",$C15="Open urban land",$C15="Greenspace",$C15="Community food growing",$C15="Woodland",$C15="Shrub", $C15="Water"), "|||"&amp;$C15, (VLOOKUP('Stage 2'!$E$9,Lookups!$C$140:$D$140,2,FALSE)&amp;"|"&amp;$C15&amp;"|"&amp;VLOOKUP('Stage 2'!$E$12,Lookups!$C$154:$D$155,2,FALSE)&amp;"|"&amp;VLOOKUP('Stage 2'!$E$11,Lookups!$C$114:$E$136,3,FALSE)&amp;"|"&amp;VLOOKUP($E$10,Lookups!$C$145:$D$150,2,FALSE)))),Lookups!$H$26:$J$110,3,FALSE),
IFERROR(IFERROR($D15*VLOOKUP($C15&amp;"|"&amp;VLOOKUP('Stage 2'!$E$12,Lookups!$C$154:$D$155,2,FALSE)&amp;"|"&amp;VLOOKUP('Stage 2'!$E$11,Lookups!$C$114:$E$136,3,FALSE)&amp;"|"&amp;VLOOKUP($E$10,Lookups!$C$145:$D$150,2,FALSE),Lookups!$H$26:$J$110,3,FALSE),IFERROR($D15*VLOOKUP($C15&amp;"|"&amp;"TRUE"&amp;"|"&amp;VLOOKUP('Stage 2'!$E$11,Lookups!$C$114:$E$136,3,FALSE)&amp;"|"&amp;VLOOKUP($E$10,Lookups!$C$145:$D$150,2,FALSE),Lookups!$H$26:$J$110,3,FALSE),$D15*VLOOKUP($C15&amp;"|"&amp;VLOOKUP('Stage 2'!$E$12,Lookups!$C$154:$D$155,2,FALSE)&amp;"|"&amp;VLOOKUP('Stage 2'!$E$11,Lookups!$C$114:$E$136,3,FALSE)&amp;"|"&amp;"DrainedArGr",Lookups!$H$26:$J$110,3,FALSE))),IFERROR($D15*VLOOKUP($C15&amp;"|"&amp;VLOOKUP('Stage 2'!$E$11,Lookups!$C$114:$E$136,3,FALSE),Lookups!$K$26:$M$102,3,FALSE),$D15*VLOOKUP($C15,Lookups!$D$26:$O$102,12,FALSE)))))</f>
        <v/>
      </c>
      <c r="G15" s="169"/>
      <c r="H15" s="170"/>
      <c r="I15" s="170"/>
      <c r="J15" s="170"/>
    </row>
    <row r="16" spans="1:10" x14ac:dyDescent="0.25">
      <c r="A16" s="140"/>
      <c r="B16" s="1"/>
      <c r="C16" s="108"/>
      <c r="D16" s="109"/>
      <c r="E16" s="199" t="str">
        <f>IF(OR(ISBLANK($C16),ISBLANK($D16),ISBLANK($E$10),ISBLANK($E$11)),"",IFERROR($D16*VLOOKUP((IF(OR($C16="Residential urban land",$C16="Commercial/industrial urban land",$C16="Open urban land",$C16="Greenspace",$C16="Community food growing",$C16="Woodland",$C16="Shrub", $C16="Water"), "|||"&amp;$C16, (VLOOKUP('Stage 2'!$E$9,Lookups!$C$140:$D$140,2,FALSE)&amp;"|"&amp;$C16&amp;"|"&amp;VLOOKUP('Stage 2'!$E$12,Lookups!$C$154:$D$155,2,FALSE)&amp;"|"&amp;VLOOKUP('Stage 2'!$E$11,Lookups!$C$114:$E$136,3,FALSE)&amp;"|"&amp;VLOOKUP($E$10,Lookups!$C$145:$D$150,2,FALSE)))),Lookups!$H$26:$J$110,2,FALSE),
IFERROR(IFERROR($D16*VLOOKUP($C16&amp;"|"&amp;VLOOKUP('Stage 2'!$E$12,Lookups!$C$154:$D$155,2,FALSE)&amp;"|"&amp;VLOOKUP('Stage 2'!$E$11,Lookups!$C$114:$E$136,3,FALSE)&amp;"|"&amp;VLOOKUP($E$10,Lookups!$C$145:$D$150,2,FALSE),Lookups!$H$26:$J$110,2,FALSE),IFERROR($D16*VLOOKUP($C16&amp;"|"&amp;"TRUE"&amp;"|"&amp;VLOOKUP('Stage 2'!$E$11,Lookups!$C$114:$E$136,3,FALSE)&amp;"|"&amp;VLOOKUP($E$10,Lookups!$C$145:$D$150,2,FALSE),Lookups!$H$26:$J$110,2,FALSE),$D16*VLOOKUP($C16&amp;"|"&amp;VLOOKUP('Stage 2'!$E$12,Lookups!$C$154:$D$155,2,FALSE)&amp;"|"&amp;VLOOKUP('Stage 2'!$E$11,Lookups!$C$114:$E$136,3,FALSE)&amp;"|"&amp;"DrainedArGr",Lookups!$H$26:$J$110,2,FALSE))),IFERROR($D16*VLOOKUP($C16&amp;"|"&amp;VLOOKUP('Stage 2'!$E$11,Lookups!$C$114:$E$136,3,FALSE),Lookups!$K$26:$M$102,2,FALSE),$D16*VLOOKUP($C16,Lookups!$D$26:$O$102,11,FALSE)))))</f>
        <v/>
      </c>
      <c r="F16" s="187" t="str">
        <f>IF(OR(ISBLANK($C16),ISBLANK($D16),ISBLANK($E$10),ISBLANK($E$11)),"",IFERROR($D16*VLOOKUP((IF(OR($C16="Residential urban land",$C16="Commercial/industrial urban land",$C16="Open urban land",$C16="Greenspace",$C16="Community food growing",$C16="Woodland",$C16="Shrub", $C16="Water"), "|||"&amp;$C16, (VLOOKUP('Stage 2'!$E$9,Lookups!$C$140:$D$140,2,FALSE)&amp;"|"&amp;$C16&amp;"|"&amp;VLOOKUP('Stage 2'!$E$12,Lookups!$C$154:$D$155,2,FALSE)&amp;"|"&amp;VLOOKUP('Stage 2'!$E$11,Lookups!$C$114:$E$136,3,FALSE)&amp;"|"&amp;VLOOKUP($E$10,Lookups!$C$145:$D$150,2,FALSE)))),Lookups!$H$26:$J$110,3,FALSE),
IFERROR(IFERROR($D16*VLOOKUP($C16&amp;"|"&amp;VLOOKUP('Stage 2'!$E$12,Lookups!$C$154:$D$155,2,FALSE)&amp;"|"&amp;VLOOKUP('Stage 2'!$E$11,Lookups!$C$114:$E$136,3,FALSE)&amp;"|"&amp;VLOOKUP($E$10,Lookups!$C$145:$D$150,2,FALSE),Lookups!$H$26:$J$110,3,FALSE),IFERROR($D16*VLOOKUP($C16&amp;"|"&amp;"TRUE"&amp;"|"&amp;VLOOKUP('Stage 2'!$E$11,Lookups!$C$114:$E$136,3,FALSE)&amp;"|"&amp;VLOOKUP($E$10,Lookups!$C$145:$D$150,2,FALSE),Lookups!$H$26:$J$110,3,FALSE),$D16*VLOOKUP($C16&amp;"|"&amp;VLOOKUP('Stage 2'!$E$12,Lookups!$C$154:$D$155,2,FALSE)&amp;"|"&amp;VLOOKUP('Stage 2'!$E$11,Lookups!$C$114:$E$136,3,FALSE)&amp;"|"&amp;"DrainedArGr",Lookups!$H$26:$J$110,3,FALSE))),IFERROR($D16*VLOOKUP($C16&amp;"|"&amp;VLOOKUP('Stage 2'!$E$11,Lookups!$C$114:$E$136,3,FALSE),Lookups!$K$26:$M$102,3,FALSE),$D16*VLOOKUP($C16,Lookups!$D$26:$O$102,12,FALSE)))))</f>
        <v/>
      </c>
      <c r="G16" s="169"/>
      <c r="H16" s="170"/>
      <c r="I16" s="170"/>
      <c r="J16" s="170"/>
    </row>
    <row r="17" spans="1:10" x14ac:dyDescent="0.25">
      <c r="A17" s="140"/>
      <c r="B17" s="1"/>
      <c r="C17" s="108"/>
      <c r="D17" s="109"/>
      <c r="E17" s="199" t="str">
        <f>IF(OR(ISBLANK($C17),ISBLANK($D17),ISBLANK($E$10),ISBLANK($E$11)),"",IFERROR($D17*VLOOKUP((IF(OR($C17="Residential urban land",$C17="Commercial/industrial urban land",$C17="Open urban land",$C17="Greenspace",$C17="Community food growing",$C17="Woodland",$C17="Shrub", $C17="Water"), "|||"&amp;$C17, (VLOOKUP('Stage 2'!$E$9,Lookups!$C$140:$D$140,2,FALSE)&amp;"|"&amp;$C17&amp;"|"&amp;VLOOKUP('Stage 2'!$E$12,Lookups!$C$154:$D$155,2,FALSE)&amp;"|"&amp;VLOOKUP('Stage 2'!$E$11,Lookups!$C$114:$E$136,3,FALSE)&amp;"|"&amp;VLOOKUP($E$10,Lookups!$C$145:$D$150,2,FALSE)))),Lookups!$H$26:$J$110,2,FALSE),
IFERROR(IFERROR($D17*VLOOKUP($C17&amp;"|"&amp;VLOOKUP('Stage 2'!$E$12,Lookups!$C$154:$D$155,2,FALSE)&amp;"|"&amp;VLOOKUP('Stage 2'!$E$11,Lookups!$C$114:$E$136,3,FALSE)&amp;"|"&amp;VLOOKUP($E$10,Lookups!$C$145:$D$150,2,FALSE),Lookups!$H$26:$J$110,2,FALSE),IFERROR($D17*VLOOKUP($C17&amp;"|"&amp;"TRUE"&amp;"|"&amp;VLOOKUP('Stage 2'!$E$11,Lookups!$C$114:$E$136,3,FALSE)&amp;"|"&amp;VLOOKUP($E$10,Lookups!$C$145:$D$150,2,FALSE),Lookups!$H$26:$J$110,2,FALSE),$D17*VLOOKUP($C17&amp;"|"&amp;VLOOKUP('Stage 2'!$E$12,Lookups!$C$154:$D$155,2,FALSE)&amp;"|"&amp;VLOOKUP('Stage 2'!$E$11,Lookups!$C$114:$E$136,3,FALSE)&amp;"|"&amp;"DrainedArGr",Lookups!$H$26:$J$110,2,FALSE))),IFERROR($D17*VLOOKUP($C17&amp;"|"&amp;VLOOKUP('Stage 2'!$E$11,Lookups!$C$114:$E$136,3,FALSE),Lookups!$K$26:$M$102,2,FALSE),$D17*VLOOKUP($C17,Lookups!$D$26:$O$102,11,FALSE)))))</f>
        <v/>
      </c>
      <c r="F17" s="187" t="str">
        <f>IF(OR(ISBLANK($C17),ISBLANK($D17),ISBLANK($E$10),ISBLANK($E$11)),"",IFERROR($D17*VLOOKUP((IF(OR($C17="Residential urban land",$C17="Commercial/industrial urban land",$C17="Open urban land",$C17="Greenspace",$C17="Community food growing",$C17="Woodland",$C17="Shrub", $C17="Water"), "|||"&amp;$C17, (VLOOKUP('Stage 2'!$E$9,Lookups!$C$140:$D$140,2,FALSE)&amp;"|"&amp;$C17&amp;"|"&amp;VLOOKUP('Stage 2'!$E$12,Lookups!$C$154:$D$155,2,FALSE)&amp;"|"&amp;VLOOKUP('Stage 2'!$E$11,Lookups!$C$114:$E$136,3,FALSE)&amp;"|"&amp;VLOOKUP($E$10,Lookups!$C$145:$D$150,2,FALSE)))),Lookups!$H$26:$J$110,3,FALSE),
IFERROR(IFERROR($D17*VLOOKUP($C17&amp;"|"&amp;VLOOKUP('Stage 2'!$E$12,Lookups!$C$154:$D$155,2,FALSE)&amp;"|"&amp;VLOOKUP('Stage 2'!$E$11,Lookups!$C$114:$E$136,3,FALSE)&amp;"|"&amp;VLOOKUP($E$10,Lookups!$C$145:$D$150,2,FALSE),Lookups!$H$26:$J$110,3,FALSE),IFERROR($D17*VLOOKUP($C17&amp;"|"&amp;"TRUE"&amp;"|"&amp;VLOOKUP('Stage 2'!$E$11,Lookups!$C$114:$E$136,3,FALSE)&amp;"|"&amp;VLOOKUP($E$10,Lookups!$C$145:$D$150,2,FALSE),Lookups!$H$26:$J$110,3,FALSE),$D17*VLOOKUP($C17&amp;"|"&amp;VLOOKUP('Stage 2'!$E$12,Lookups!$C$154:$D$155,2,FALSE)&amp;"|"&amp;VLOOKUP('Stage 2'!$E$11,Lookups!$C$114:$E$136,3,FALSE)&amp;"|"&amp;"DrainedArGr",Lookups!$H$26:$J$110,3,FALSE))),IFERROR($D17*VLOOKUP($C17&amp;"|"&amp;VLOOKUP('Stage 2'!$E$11,Lookups!$C$114:$E$136,3,FALSE),Lookups!$K$26:$M$102,3,FALSE),$D17*VLOOKUP($C17,Lookups!$D$26:$O$102,12,FALSE)))))</f>
        <v/>
      </c>
      <c r="G17" s="169"/>
      <c r="H17" s="170"/>
      <c r="I17" s="170"/>
      <c r="J17" s="170"/>
    </row>
    <row r="18" spans="1:10" x14ac:dyDescent="0.25">
      <c r="A18" s="140"/>
      <c r="B18" s="1"/>
      <c r="C18" s="108"/>
      <c r="D18" s="109"/>
      <c r="E18" s="199" t="str">
        <f>IF(OR(ISBLANK($C18),ISBLANK($D18),ISBLANK($E$10),ISBLANK($E$11)),"",IFERROR($D18*VLOOKUP((IF(OR($C18="Residential urban land",$C18="Commercial/industrial urban land",$C18="Open urban land",$C18="Greenspace",$C18="Community food growing",$C18="Woodland",$C18="Shrub", $C18="Water"), "|||"&amp;$C18, (VLOOKUP('Stage 2'!$E$9,Lookups!$C$140:$D$140,2,FALSE)&amp;"|"&amp;$C18&amp;"|"&amp;VLOOKUP('Stage 2'!$E$12,Lookups!$C$154:$D$155,2,FALSE)&amp;"|"&amp;VLOOKUP('Stage 2'!$E$11,Lookups!$C$114:$E$136,3,FALSE)&amp;"|"&amp;VLOOKUP($E$10,Lookups!$C$145:$D$150,2,FALSE)))),Lookups!$H$26:$J$110,2,FALSE),
IFERROR(IFERROR($D18*VLOOKUP($C18&amp;"|"&amp;VLOOKUP('Stage 2'!$E$12,Lookups!$C$154:$D$155,2,FALSE)&amp;"|"&amp;VLOOKUP('Stage 2'!$E$11,Lookups!$C$114:$E$136,3,FALSE)&amp;"|"&amp;VLOOKUP($E$10,Lookups!$C$145:$D$150,2,FALSE),Lookups!$H$26:$J$110,2,FALSE),IFERROR($D18*VLOOKUP($C18&amp;"|"&amp;"TRUE"&amp;"|"&amp;VLOOKUP('Stage 2'!$E$11,Lookups!$C$114:$E$136,3,FALSE)&amp;"|"&amp;VLOOKUP($E$10,Lookups!$C$145:$D$150,2,FALSE),Lookups!$H$26:$J$110,2,FALSE),$D18*VLOOKUP($C18&amp;"|"&amp;VLOOKUP('Stage 2'!$E$12,Lookups!$C$154:$D$155,2,FALSE)&amp;"|"&amp;VLOOKUP('Stage 2'!$E$11,Lookups!$C$114:$E$136,3,FALSE)&amp;"|"&amp;"DrainedArGr",Lookups!$H$26:$J$110,2,FALSE))),IFERROR($D18*VLOOKUP($C18&amp;"|"&amp;VLOOKUP('Stage 2'!$E$11,Lookups!$C$114:$E$136,3,FALSE),Lookups!$K$26:$M$102,2,FALSE),$D18*VLOOKUP($C18,Lookups!$D$26:$O$102,11,FALSE)))))</f>
        <v/>
      </c>
      <c r="F18" s="187" t="str">
        <f>IF(OR(ISBLANK($C18),ISBLANK($D18),ISBLANK($E$10),ISBLANK($E$11)),"",IFERROR($D18*VLOOKUP((IF(OR($C18="Residential urban land",$C18="Commercial/industrial urban land",$C18="Open urban land",$C18="Greenspace",$C18="Community food growing",$C18="Woodland",$C18="Shrub", $C18="Water"), "|||"&amp;$C18, (VLOOKUP('Stage 2'!$E$9,Lookups!$C$140:$D$140,2,FALSE)&amp;"|"&amp;$C18&amp;"|"&amp;VLOOKUP('Stage 2'!$E$12,Lookups!$C$154:$D$155,2,FALSE)&amp;"|"&amp;VLOOKUP('Stage 2'!$E$11,Lookups!$C$114:$E$136,3,FALSE)&amp;"|"&amp;VLOOKUP($E$10,Lookups!$C$145:$D$150,2,FALSE)))),Lookups!$H$26:$J$110,3,FALSE),
IFERROR(IFERROR($D18*VLOOKUP($C18&amp;"|"&amp;VLOOKUP('Stage 2'!$E$12,Lookups!$C$154:$D$155,2,FALSE)&amp;"|"&amp;VLOOKUP('Stage 2'!$E$11,Lookups!$C$114:$E$136,3,FALSE)&amp;"|"&amp;VLOOKUP($E$10,Lookups!$C$145:$D$150,2,FALSE),Lookups!$H$26:$J$110,3,FALSE),IFERROR($D18*VLOOKUP($C18&amp;"|"&amp;"TRUE"&amp;"|"&amp;VLOOKUP('Stage 2'!$E$11,Lookups!$C$114:$E$136,3,FALSE)&amp;"|"&amp;VLOOKUP($E$10,Lookups!$C$145:$D$150,2,FALSE),Lookups!$H$26:$J$110,3,FALSE),$D18*VLOOKUP($C18&amp;"|"&amp;VLOOKUP('Stage 2'!$E$12,Lookups!$C$154:$D$155,2,FALSE)&amp;"|"&amp;VLOOKUP('Stage 2'!$E$11,Lookups!$C$114:$E$136,3,FALSE)&amp;"|"&amp;"DrainedArGr",Lookups!$H$26:$J$110,3,FALSE))),IFERROR($D18*VLOOKUP($C18&amp;"|"&amp;VLOOKUP('Stage 2'!$E$11,Lookups!$C$114:$E$136,3,FALSE),Lookups!$K$26:$M$102,3,FALSE),$D18*VLOOKUP($C18,Lookups!$D$26:$O$102,12,FALSE)))))</f>
        <v/>
      </c>
      <c r="G18" s="169"/>
      <c r="H18" s="170"/>
      <c r="I18" s="170"/>
      <c r="J18" s="170"/>
    </row>
    <row r="19" spans="1:10" x14ac:dyDescent="0.25">
      <c r="A19" s="140"/>
      <c r="B19" s="1"/>
      <c r="C19" s="108"/>
      <c r="D19" s="109"/>
      <c r="E19" s="199" t="str">
        <f>IF(OR(ISBLANK($C19),ISBLANK($D19),ISBLANK($E$10),ISBLANK($E$11)),"",IFERROR($D19*VLOOKUP((IF(OR($C19="Residential urban land",$C19="Commercial/industrial urban land",$C19="Open urban land",$C19="Greenspace",$C19="Community food growing",$C19="Woodland",$C19="Shrub", $C19="Water"), "|||"&amp;$C19, (VLOOKUP('Stage 2'!$E$9,Lookups!$C$140:$D$140,2,FALSE)&amp;"|"&amp;$C19&amp;"|"&amp;VLOOKUP('Stage 2'!$E$12,Lookups!$C$154:$D$155,2,FALSE)&amp;"|"&amp;VLOOKUP('Stage 2'!$E$11,Lookups!$C$114:$E$136,3,FALSE)&amp;"|"&amp;VLOOKUP($E$10,Lookups!$C$145:$D$150,2,FALSE)))),Lookups!$H$26:$J$110,2,FALSE),
IFERROR(IFERROR($D19*VLOOKUP($C19&amp;"|"&amp;VLOOKUP('Stage 2'!$E$12,Lookups!$C$154:$D$155,2,FALSE)&amp;"|"&amp;VLOOKUP('Stage 2'!$E$11,Lookups!$C$114:$E$136,3,FALSE)&amp;"|"&amp;VLOOKUP($E$10,Lookups!$C$145:$D$150,2,FALSE),Lookups!$H$26:$J$110,2,FALSE),IFERROR($D19*VLOOKUP($C19&amp;"|"&amp;"TRUE"&amp;"|"&amp;VLOOKUP('Stage 2'!$E$11,Lookups!$C$114:$E$136,3,FALSE)&amp;"|"&amp;VLOOKUP($E$10,Lookups!$C$145:$D$150,2,FALSE),Lookups!$H$26:$J$110,2,FALSE),$D19*VLOOKUP($C19&amp;"|"&amp;VLOOKUP('Stage 2'!$E$12,Lookups!$C$154:$D$155,2,FALSE)&amp;"|"&amp;VLOOKUP('Stage 2'!$E$11,Lookups!$C$114:$E$136,3,FALSE)&amp;"|"&amp;"DrainedArGr",Lookups!$H$26:$J$110,2,FALSE))),IFERROR($D19*VLOOKUP($C19&amp;"|"&amp;VLOOKUP('Stage 2'!$E$11,Lookups!$C$114:$E$136,3,FALSE),Lookups!$K$26:$M$102,2,FALSE),$D19*VLOOKUP($C19,Lookups!$D$26:$O$102,11,FALSE)))))</f>
        <v/>
      </c>
      <c r="F19" s="187" t="str">
        <f>IF(OR(ISBLANK($C19),ISBLANK($D19),ISBLANK($E$10),ISBLANK($E$11)),"",IFERROR($D19*VLOOKUP((IF(OR($C19="Residential urban land",$C19="Commercial/industrial urban land",$C19="Open urban land",$C19="Greenspace",$C19="Community food growing",$C19="Woodland",$C19="Shrub", $C19="Water"), "|||"&amp;$C19, (VLOOKUP('Stage 2'!$E$9,Lookups!$C$140:$D$140,2,FALSE)&amp;"|"&amp;$C19&amp;"|"&amp;VLOOKUP('Stage 2'!$E$12,Lookups!$C$154:$D$155,2,FALSE)&amp;"|"&amp;VLOOKUP('Stage 2'!$E$11,Lookups!$C$114:$E$136,3,FALSE)&amp;"|"&amp;VLOOKUP($E$10,Lookups!$C$145:$D$150,2,FALSE)))),Lookups!$H$26:$J$110,3,FALSE),
IFERROR(IFERROR($D19*VLOOKUP($C19&amp;"|"&amp;VLOOKUP('Stage 2'!$E$12,Lookups!$C$154:$D$155,2,FALSE)&amp;"|"&amp;VLOOKUP('Stage 2'!$E$11,Lookups!$C$114:$E$136,3,FALSE)&amp;"|"&amp;VLOOKUP($E$10,Lookups!$C$145:$D$150,2,FALSE),Lookups!$H$26:$J$110,3,FALSE),IFERROR($D19*VLOOKUP($C19&amp;"|"&amp;"TRUE"&amp;"|"&amp;VLOOKUP('Stage 2'!$E$11,Lookups!$C$114:$E$136,3,FALSE)&amp;"|"&amp;VLOOKUP($E$10,Lookups!$C$145:$D$150,2,FALSE),Lookups!$H$26:$J$110,3,FALSE),$D19*VLOOKUP($C19&amp;"|"&amp;VLOOKUP('Stage 2'!$E$12,Lookups!$C$154:$D$155,2,FALSE)&amp;"|"&amp;VLOOKUP('Stage 2'!$E$11,Lookups!$C$114:$E$136,3,FALSE)&amp;"|"&amp;"DrainedArGr",Lookups!$H$26:$J$110,3,FALSE))),IFERROR($D19*VLOOKUP($C19&amp;"|"&amp;VLOOKUP('Stage 2'!$E$11,Lookups!$C$114:$E$136,3,FALSE),Lookups!$K$26:$M$102,3,FALSE),$D19*VLOOKUP($C19,Lookups!$D$26:$O$102,12,FALSE)))))</f>
        <v/>
      </c>
      <c r="G19" s="169"/>
      <c r="H19" s="170"/>
      <c r="I19" s="170"/>
      <c r="J19" s="170"/>
    </row>
    <row r="20" spans="1:10" x14ac:dyDescent="0.25">
      <c r="A20" s="140"/>
      <c r="B20" s="1"/>
      <c r="C20" s="108"/>
      <c r="D20" s="109"/>
      <c r="E20" s="199" t="str">
        <f>IF(OR(ISBLANK($C20),ISBLANK($D20),ISBLANK($E$10),ISBLANK($E$11)),"",IFERROR($D20*VLOOKUP((IF(OR($C20="Residential urban land",$C20="Commercial/industrial urban land",$C20="Open urban land",$C20="Greenspace",$C20="Community food growing",$C20="Woodland",$C20="Shrub", $C20="Water"), "|||"&amp;$C20, (VLOOKUP('Stage 2'!$E$9,Lookups!$C$140:$D$140,2,FALSE)&amp;"|"&amp;$C20&amp;"|"&amp;VLOOKUP('Stage 2'!$E$12,Lookups!$C$154:$D$155,2,FALSE)&amp;"|"&amp;VLOOKUP('Stage 2'!$E$11,Lookups!$C$114:$E$136,3,FALSE)&amp;"|"&amp;VLOOKUP($E$10,Lookups!$C$145:$D$150,2,FALSE)))),Lookups!$H$26:$J$110,2,FALSE),
IFERROR(IFERROR($D20*VLOOKUP($C20&amp;"|"&amp;VLOOKUP('Stage 2'!$E$12,Lookups!$C$154:$D$155,2,FALSE)&amp;"|"&amp;VLOOKUP('Stage 2'!$E$11,Lookups!$C$114:$E$136,3,FALSE)&amp;"|"&amp;VLOOKUP($E$10,Lookups!$C$145:$D$150,2,FALSE),Lookups!$H$26:$J$110,2,FALSE),IFERROR($D20*VLOOKUP($C20&amp;"|"&amp;"TRUE"&amp;"|"&amp;VLOOKUP('Stage 2'!$E$11,Lookups!$C$114:$E$136,3,FALSE)&amp;"|"&amp;VLOOKUP($E$10,Lookups!$C$145:$D$150,2,FALSE),Lookups!$H$26:$J$110,2,FALSE),$D20*VLOOKUP($C20&amp;"|"&amp;VLOOKUP('Stage 2'!$E$12,Lookups!$C$154:$D$155,2,FALSE)&amp;"|"&amp;VLOOKUP('Stage 2'!$E$11,Lookups!$C$114:$E$136,3,FALSE)&amp;"|"&amp;"DrainedArGr",Lookups!$H$26:$J$110,2,FALSE))),IFERROR($D20*VLOOKUP($C20&amp;"|"&amp;VLOOKUP('Stage 2'!$E$11,Lookups!$C$114:$E$136,3,FALSE),Lookups!$K$26:$M$102,2,FALSE),$D20*VLOOKUP($C20,Lookups!$D$26:$O$102,11,FALSE)))))</f>
        <v/>
      </c>
      <c r="F20" s="187" t="str">
        <f>IF(OR(ISBLANK($C20),ISBLANK($D20),ISBLANK($E$10),ISBLANK($E$11)),"",IFERROR($D20*VLOOKUP((IF(OR($C20="Residential urban land",$C20="Commercial/industrial urban land",$C20="Open urban land",$C20="Greenspace",$C20="Community food growing",$C20="Woodland",$C20="Shrub", $C20="Water"), "|||"&amp;$C20, (VLOOKUP('Stage 2'!$E$9,Lookups!$C$140:$D$140,2,FALSE)&amp;"|"&amp;$C20&amp;"|"&amp;VLOOKUP('Stage 2'!$E$12,Lookups!$C$154:$D$155,2,FALSE)&amp;"|"&amp;VLOOKUP('Stage 2'!$E$11,Lookups!$C$114:$E$136,3,FALSE)&amp;"|"&amp;VLOOKUP($E$10,Lookups!$C$145:$D$150,2,FALSE)))),Lookups!$H$26:$J$110,3,FALSE),
IFERROR(IFERROR($D20*VLOOKUP($C20&amp;"|"&amp;VLOOKUP('Stage 2'!$E$12,Lookups!$C$154:$D$155,2,FALSE)&amp;"|"&amp;VLOOKUP('Stage 2'!$E$11,Lookups!$C$114:$E$136,3,FALSE)&amp;"|"&amp;VLOOKUP($E$10,Lookups!$C$145:$D$150,2,FALSE),Lookups!$H$26:$J$110,3,FALSE),IFERROR($D20*VLOOKUP($C20&amp;"|"&amp;"TRUE"&amp;"|"&amp;VLOOKUP('Stage 2'!$E$11,Lookups!$C$114:$E$136,3,FALSE)&amp;"|"&amp;VLOOKUP($E$10,Lookups!$C$145:$D$150,2,FALSE),Lookups!$H$26:$J$110,3,FALSE),$D20*VLOOKUP($C20&amp;"|"&amp;VLOOKUP('Stage 2'!$E$12,Lookups!$C$154:$D$155,2,FALSE)&amp;"|"&amp;VLOOKUP('Stage 2'!$E$11,Lookups!$C$114:$E$136,3,FALSE)&amp;"|"&amp;"DrainedArGr",Lookups!$H$26:$J$110,3,FALSE))),IFERROR($D20*VLOOKUP($C20&amp;"|"&amp;VLOOKUP('Stage 2'!$E$11,Lookups!$C$114:$E$136,3,FALSE),Lookups!$K$26:$M$102,3,FALSE),$D20*VLOOKUP($C20,Lookups!$D$26:$O$102,12,FALSE)))))</f>
        <v/>
      </c>
      <c r="G20" s="169"/>
      <c r="H20" s="170"/>
      <c r="I20" s="170"/>
      <c r="J20" s="170"/>
    </row>
    <row r="21" spans="1:10" x14ac:dyDescent="0.25">
      <c r="A21" s="140"/>
      <c r="B21" s="1"/>
      <c r="C21" s="108"/>
      <c r="D21" s="109"/>
      <c r="E21" s="199" t="str">
        <f>IF(OR(ISBLANK($C21),ISBLANK($D21),ISBLANK($E$10),ISBLANK($E$11)),"",IFERROR($D21*VLOOKUP((IF(OR($C21="Residential urban land",$C21="Commercial/industrial urban land",$C21="Open urban land",$C21="Greenspace",$C21="Community food growing",$C21="Woodland",$C21="Shrub", $C21="Water"), "|||"&amp;$C21, (VLOOKUP('Stage 2'!$E$9,Lookups!$C$140:$D$140,2,FALSE)&amp;"|"&amp;$C21&amp;"|"&amp;VLOOKUP('Stage 2'!$E$12,Lookups!$C$154:$D$155,2,FALSE)&amp;"|"&amp;VLOOKUP('Stage 2'!$E$11,Lookups!$C$114:$E$136,3,FALSE)&amp;"|"&amp;VLOOKUP($E$10,Lookups!$C$145:$D$150,2,FALSE)))),Lookups!$H$26:$J$110,2,FALSE),
IFERROR(IFERROR($D21*VLOOKUP($C21&amp;"|"&amp;VLOOKUP('Stage 2'!$E$12,Lookups!$C$154:$D$155,2,FALSE)&amp;"|"&amp;VLOOKUP('Stage 2'!$E$11,Lookups!$C$114:$E$136,3,FALSE)&amp;"|"&amp;VLOOKUP($E$10,Lookups!$C$145:$D$150,2,FALSE),Lookups!$H$26:$J$110,2,FALSE),IFERROR($D21*VLOOKUP($C21&amp;"|"&amp;"TRUE"&amp;"|"&amp;VLOOKUP('Stage 2'!$E$11,Lookups!$C$114:$E$136,3,FALSE)&amp;"|"&amp;VLOOKUP($E$10,Lookups!$C$145:$D$150,2,FALSE),Lookups!$H$26:$J$110,2,FALSE),$D21*VLOOKUP($C21&amp;"|"&amp;VLOOKUP('Stage 2'!$E$12,Lookups!$C$154:$D$155,2,FALSE)&amp;"|"&amp;VLOOKUP('Stage 2'!$E$11,Lookups!$C$114:$E$136,3,FALSE)&amp;"|"&amp;"DrainedArGr",Lookups!$H$26:$J$110,2,FALSE))),IFERROR($D21*VLOOKUP($C21&amp;"|"&amp;VLOOKUP('Stage 2'!$E$11,Lookups!$C$114:$E$136,3,FALSE),Lookups!$K$26:$M$102,2,FALSE),$D21*VLOOKUP($C21,Lookups!$D$26:$O$102,11,FALSE)))))</f>
        <v/>
      </c>
      <c r="F21" s="187" t="str">
        <f>IF(OR(ISBLANK($C21),ISBLANK($D21),ISBLANK($E$10),ISBLANK($E$11)),"",IFERROR($D21*VLOOKUP((IF(OR($C21="Residential urban land",$C21="Commercial/industrial urban land",$C21="Open urban land",$C21="Greenspace",$C21="Community food growing",$C21="Woodland",$C21="Shrub", $C21="Water"), "|||"&amp;$C21, (VLOOKUP('Stage 2'!$E$9,Lookups!$C$140:$D$140,2,FALSE)&amp;"|"&amp;$C21&amp;"|"&amp;VLOOKUP('Stage 2'!$E$12,Lookups!$C$154:$D$155,2,FALSE)&amp;"|"&amp;VLOOKUP('Stage 2'!$E$11,Lookups!$C$114:$E$136,3,FALSE)&amp;"|"&amp;VLOOKUP($E$10,Lookups!$C$145:$D$150,2,FALSE)))),Lookups!$H$26:$J$110,3,FALSE),
IFERROR(IFERROR($D21*VLOOKUP($C21&amp;"|"&amp;VLOOKUP('Stage 2'!$E$12,Lookups!$C$154:$D$155,2,FALSE)&amp;"|"&amp;VLOOKUP('Stage 2'!$E$11,Lookups!$C$114:$E$136,3,FALSE)&amp;"|"&amp;VLOOKUP($E$10,Lookups!$C$145:$D$150,2,FALSE),Lookups!$H$26:$J$110,3,FALSE),IFERROR($D21*VLOOKUP($C21&amp;"|"&amp;"TRUE"&amp;"|"&amp;VLOOKUP('Stage 2'!$E$11,Lookups!$C$114:$E$136,3,FALSE)&amp;"|"&amp;VLOOKUP($E$10,Lookups!$C$145:$D$150,2,FALSE),Lookups!$H$26:$J$110,3,FALSE),$D21*VLOOKUP($C21&amp;"|"&amp;VLOOKUP('Stage 2'!$E$12,Lookups!$C$154:$D$155,2,FALSE)&amp;"|"&amp;VLOOKUP('Stage 2'!$E$11,Lookups!$C$114:$E$136,3,FALSE)&amp;"|"&amp;"DrainedArGr",Lookups!$H$26:$J$110,3,FALSE))),IFERROR($D21*VLOOKUP($C21&amp;"|"&amp;VLOOKUP('Stage 2'!$E$11,Lookups!$C$114:$E$136,3,FALSE),Lookups!$K$26:$M$102,3,FALSE),$D21*VLOOKUP($C21,Lookups!$D$26:$O$102,12,FALSE)))))</f>
        <v/>
      </c>
      <c r="G21" s="162"/>
    </row>
    <row r="22" spans="1:10" x14ac:dyDescent="0.25">
      <c r="A22" s="140"/>
      <c r="B22" s="1"/>
      <c r="C22" s="108"/>
      <c r="D22" s="109"/>
      <c r="E22" s="199" t="str">
        <f>IF(OR(ISBLANK($C22),ISBLANK($D22),ISBLANK($E$10),ISBLANK($E$11)),"",IFERROR($D22*VLOOKUP((IF(OR($C22="Residential urban land",$C22="Commercial/industrial urban land",$C22="Open urban land",$C22="Greenspace",$C22="Community food growing",$C22="Woodland",$C22="Shrub", $C22="Water"), "|||"&amp;$C22, (VLOOKUP('Stage 2'!$E$9,Lookups!$C$140:$D$140,2,FALSE)&amp;"|"&amp;$C22&amp;"|"&amp;VLOOKUP('Stage 2'!$E$12,Lookups!$C$154:$D$155,2,FALSE)&amp;"|"&amp;VLOOKUP('Stage 2'!$E$11,Lookups!$C$114:$E$136,3,FALSE)&amp;"|"&amp;VLOOKUP($E$10,Lookups!$C$145:$D$150,2,FALSE)))),Lookups!$H$26:$J$110,2,FALSE),
IFERROR(IFERROR($D22*VLOOKUP($C22&amp;"|"&amp;VLOOKUP('Stage 2'!$E$12,Lookups!$C$154:$D$155,2,FALSE)&amp;"|"&amp;VLOOKUP('Stage 2'!$E$11,Lookups!$C$114:$E$136,3,FALSE)&amp;"|"&amp;VLOOKUP($E$10,Lookups!$C$145:$D$150,2,FALSE),Lookups!$H$26:$J$110,2,FALSE),IFERROR($D22*VLOOKUP($C22&amp;"|"&amp;"TRUE"&amp;"|"&amp;VLOOKUP('Stage 2'!$E$11,Lookups!$C$114:$E$136,3,FALSE)&amp;"|"&amp;VLOOKUP($E$10,Lookups!$C$145:$D$150,2,FALSE),Lookups!$H$26:$J$110,2,FALSE),$D22*VLOOKUP($C22&amp;"|"&amp;VLOOKUP('Stage 2'!$E$12,Lookups!$C$154:$D$155,2,FALSE)&amp;"|"&amp;VLOOKUP('Stage 2'!$E$11,Lookups!$C$114:$E$136,3,FALSE)&amp;"|"&amp;"DrainedArGr",Lookups!$H$26:$J$110,2,FALSE))),IFERROR($D22*VLOOKUP($C22&amp;"|"&amp;VLOOKUP('Stage 2'!$E$11,Lookups!$C$114:$E$136,3,FALSE),Lookups!$K$26:$M$102,2,FALSE),$D22*VLOOKUP($C22,Lookups!$D$26:$O$102,11,FALSE)))))</f>
        <v/>
      </c>
      <c r="F22" s="187" t="str">
        <f>IF(OR(ISBLANK($C22),ISBLANK($D22),ISBLANK($E$10),ISBLANK($E$11)),"",IFERROR($D22*VLOOKUP((IF(OR($C22="Residential urban land",$C22="Commercial/industrial urban land",$C22="Open urban land",$C22="Greenspace",$C22="Community food growing",$C22="Woodland",$C22="Shrub", $C22="Water"), "|||"&amp;$C22, (VLOOKUP('Stage 2'!$E$9,Lookups!$C$140:$D$140,2,FALSE)&amp;"|"&amp;$C22&amp;"|"&amp;VLOOKUP('Stage 2'!$E$12,Lookups!$C$154:$D$155,2,FALSE)&amp;"|"&amp;VLOOKUP('Stage 2'!$E$11,Lookups!$C$114:$E$136,3,FALSE)&amp;"|"&amp;VLOOKUP($E$10,Lookups!$C$145:$D$150,2,FALSE)))),Lookups!$H$26:$J$110,3,FALSE),
IFERROR(IFERROR($D22*VLOOKUP($C22&amp;"|"&amp;VLOOKUP('Stage 2'!$E$12,Lookups!$C$154:$D$155,2,FALSE)&amp;"|"&amp;VLOOKUP('Stage 2'!$E$11,Lookups!$C$114:$E$136,3,FALSE)&amp;"|"&amp;VLOOKUP($E$10,Lookups!$C$145:$D$150,2,FALSE),Lookups!$H$26:$J$110,3,FALSE),IFERROR($D22*VLOOKUP($C22&amp;"|"&amp;"TRUE"&amp;"|"&amp;VLOOKUP('Stage 2'!$E$11,Lookups!$C$114:$E$136,3,FALSE)&amp;"|"&amp;VLOOKUP($E$10,Lookups!$C$145:$D$150,2,FALSE),Lookups!$H$26:$J$110,3,FALSE),$D22*VLOOKUP($C22&amp;"|"&amp;VLOOKUP('Stage 2'!$E$12,Lookups!$C$154:$D$155,2,FALSE)&amp;"|"&amp;VLOOKUP('Stage 2'!$E$11,Lookups!$C$114:$E$136,3,FALSE)&amp;"|"&amp;"DrainedArGr",Lookups!$H$26:$J$110,3,FALSE))),IFERROR($D22*VLOOKUP($C22&amp;"|"&amp;VLOOKUP('Stage 2'!$E$11,Lookups!$C$114:$E$136,3,FALSE),Lookups!$K$26:$M$102,3,FALSE),$D22*VLOOKUP($C22,Lookups!$D$26:$O$102,12,FALSE)))))</f>
        <v/>
      </c>
      <c r="G22" s="162"/>
    </row>
    <row r="23" spans="1:10" x14ac:dyDescent="0.25">
      <c r="A23" s="140"/>
      <c r="B23" s="1"/>
      <c r="C23" s="108"/>
      <c r="D23" s="109"/>
      <c r="E23" s="199" t="str">
        <f>IF(OR(ISBLANK($C23),ISBLANK($D23),ISBLANK($E$10),ISBLANK($E$11)),"",IFERROR($D23*VLOOKUP((IF(OR($C23="Residential urban land",$C23="Commercial/industrial urban land",$C23="Open urban land",$C23="Greenspace",$C23="Community food growing",$C23="Woodland",$C23="Shrub", $C23="Water"), "|||"&amp;$C23, (VLOOKUP('Stage 2'!$E$9,Lookups!$C$140:$D$140,2,FALSE)&amp;"|"&amp;$C23&amp;"|"&amp;VLOOKUP('Stage 2'!$E$12,Lookups!$C$154:$D$155,2,FALSE)&amp;"|"&amp;VLOOKUP('Stage 2'!$E$11,Lookups!$C$114:$E$136,3,FALSE)&amp;"|"&amp;VLOOKUP($E$10,Lookups!$C$145:$D$150,2,FALSE)))),Lookups!$H$26:$J$110,2,FALSE),
IFERROR(IFERROR($D23*VLOOKUP($C23&amp;"|"&amp;VLOOKUP('Stage 2'!$E$12,Lookups!$C$154:$D$155,2,FALSE)&amp;"|"&amp;VLOOKUP('Stage 2'!$E$11,Lookups!$C$114:$E$136,3,FALSE)&amp;"|"&amp;VLOOKUP($E$10,Lookups!$C$145:$D$150,2,FALSE),Lookups!$H$26:$J$110,2,FALSE),IFERROR($D23*VLOOKUP($C23&amp;"|"&amp;"TRUE"&amp;"|"&amp;VLOOKUP('Stage 2'!$E$11,Lookups!$C$114:$E$136,3,FALSE)&amp;"|"&amp;VLOOKUP($E$10,Lookups!$C$145:$D$150,2,FALSE),Lookups!$H$26:$J$110,2,FALSE),$D23*VLOOKUP($C23&amp;"|"&amp;VLOOKUP('Stage 2'!$E$12,Lookups!$C$154:$D$155,2,FALSE)&amp;"|"&amp;VLOOKUP('Stage 2'!$E$11,Lookups!$C$114:$E$136,3,FALSE)&amp;"|"&amp;"DrainedArGr",Lookups!$H$26:$J$110,2,FALSE))),IFERROR($D23*VLOOKUP($C23&amp;"|"&amp;VLOOKUP('Stage 2'!$E$11,Lookups!$C$114:$E$136,3,FALSE),Lookups!$K$26:$M$102,2,FALSE),$D23*VLOOKUP($C23,Lookups!$D$26:$O$102,11,FALSE)))))</f>
        <v/>
      </c>
      <c r="F23" s="187" t="str">
        <f>IF(OR(ISBLANK($C23),ISBLANK($D23),ISBLANK($E$10),ISBLANK($E$11)),"",IFERROR($D23*VLOOKUP((IF(OR($C23="Residential urban land",$C23="Commercial/industrial urban land",$C23="Open urban land",$C23="Greenspace",$C23="Community food growing",$C23="Woodland",$C23="Shrub", $C23="Water"), "|||"&amp;$C23, (VLOOKUP('Stage 2'!$E$9,Lookups!$C$140:$D$140,2,FALSE)&amp;"|"&amp;$C23&amp;"|"&amp;VLOOKUP('Stage 2'!$E$12,Lookups!$C$154:$D$155,2,FALSE)&amp;"|"&amp;VLOOKUP('Stage 2'!$E$11,Lookups!$C$114:$E$136,3,FALSE)&amp;"|"&amp;VLOOKUP($E$10,Lookups!$C$145:$D$150,2,FALSE)))),Lookups!$H$26:$J$110,3,FALSE),
IFERROR(IFERROR($D23*VLOOKUP($C23&amp;"|"&amp;VLOOKUP('Stage 2'!$E$12,Lookups!$C$154:$D$155,2,FALSE)&amp;"|"&amp;VLOOKUP('Stage 2'!$E$11,Lookups!$C$114:$E$136,3,FALSE)&amp;"|"&amp;VLOOKUP($E$10,Lookups!$C$145:$D$150,2,FALSE),Lookups!$H$26:$J$110,3,FALSE),IFERROR($D23*VLOOKUP($C23&amp;"|"&amp;"TRUE"&amp;"|"&amp;VLOOKUP('Stage 2'!$E$11,Lookups!$C$114:$E$136,3,FALSE)&amp;"|"&amp;VLOOKUP($E$10,Lookups!$C$145:$D$150,2,FALSE),Lookups!$H$26:$J$110,3,FALSE),$D23*VLOOKUP($C23&amp;"|"&amp;VLOOKUP('Stage 2'!$E$12,Lookups!$C$154:$D$155,2,FALSE)&amp;"|"&amp;VLOOKUP('Stage 2'!$E$11,Lookups!$C$114:$E$136,3,FALSE)&amp;"|"&amp;"DrainedArGr",Lookups!$H$26:$J$110,3,FALSE))),IFERROR($D23*VLOOKUP($C23&amp;"|"&amp;VLOOKUP('Stage 2'!$E$11,Lookups!$C$114:$E$136,3,FALSE),Lookups!$K$26:$M$102,3,FALSE),$D23*VLOOKUP($C23,Lookups!$D$26:$O$102,12,FALSE)))))</f>
        <v/>
      </c>
      <c r="G23" s="162"/>
    </row>
    <row r="24" spans="1:10" x14ac:dyDescent="0.25">
      <c r="A24" s="140"/>
      <c r="B24" s="1"/>
      <c r="C24" s="108"/>
      <c r="D24" s="109"/>
      <c r="E24" s="199" t="str">
        <f>IF(OR(ISBLANK($C24),ISBLANK($D24),ISBLANK($E$10),ISBLANK($E$11)),"",IFERROR($D24*VLOOKUP((IF(OR($C24="Residential urban land",$C24="Commercial/industrial urban land",$C24="Open urban land",$C24="Greenspace",$C24="Community food growing",$C24="Woodland",$C24="Shrub", $C24="Water"), "|||"&amp;$C24, (VLOOKUP('Stage 2'!$E$9,Lookups!$C$140:$D$140,2,FALSE)&amp;"|"&amp;$C24&amp;"|"&amp;VLOOKUP('Stage 2'!$E$12,Lookups!$C$154:$D$155,2,FALSE)&amp;"|"&amp;VLOOKUP('Stage 2'!$E$11,Lookups!$C$114:$E$136,3,FALSE)&amp;"|"&amp;VLOOKUP($E$10,Lookups!$C$145:$D$150,2,FALSE)))),Lookups!$H$26:$J$110,2,FALSE),
IFERROR(IFERROR($D24*VLOOKUP($C24&amp;"|"&amp;VLOOKUP('Stage 2'!$E$12,Lookups!$C$154:$D$155,2,FALSE)&amp;"|"&amp;VLOOKUP('Stage 2'!$E$11,Lookups!$C$114:$E$136,3,FALSE)&amp;"|"&amp;VLOOKUP($E$10,Lookups!$C$145:$D$150,2,FALSE),Lookups!$H$26:$J$110,2,FALSE),IFERROR($D24*VLOOKUP($C24&amp;"|"&amp;"TRUE"&amp;"|"&amp;VLOOKUP('Stage 2'!$E$11,Lookups!$C$114:$E$136,3,FALSE)&amp;"|"&amp;VLOOKUP($E$10,Lookups!$C$145:$D$150,2,FALSE),Lookups!$H$26:$J$110,2,FALSE),$D24*VLOOKUP($C24&amp;"|"&amp;VLOOKUP('Stage 2'!$E$12,Lookups!$C$154:$D$155,2,FALSE)&amp;"|"&amp;VLOOKUP('Stage 2'!$E$11,Lookups!$C$114:$E$136,3,FALSE)&amp;"|"&amp;"DrainedArGr",Lookups!$H$26:$J$110,2,FALSE))),IFERROR($D24*VLOOKUP($C24&amp;"|"&amp;VLOOKUP('Stage 2'!$E$11,Lookups!$C$114:$E$136,3,FALSE),Lookups!$K$26:$M$102,2,FALSE),$D24*VLOOKUP($C24,Lookups!$D$26:$O$102,11,FALSE)))))</f>
        <v/>
      </c>
      <c r="F24" s="187" t="str">
        <f>IF(OR(ISBLANK($C24),ISBLANK($D24),ISBLANK($E$10),ISBLANK($E$11)),"",IFERROR($D24*VLOOKUP((IF(OR($C24="Residential urban land",$C24="Commercial/industrial urban land",$C24="Open urban land",$C24="Greenspace",$C24="Community food growing",$C24="Woodland",$C24="Shrub", $C24="Water"), "|||"&amp;$C24, (VLOOKUP('Stage 2'!$E$9,Lookups!$C$140:$D$140,2,FALSE)&amp;"|"&amp;$C24&amp;"|"&amp;VLOOKUP('Stage 2'!$E$12,Lookups!$C$154:$D$155,2,FALSE)&amp;"|"&amp;VLOOKUP('Stage 2'!$E$11,Lookups!$C$114:$E$136,3,FALSE)&amp;"|"&amp;VLOOKUP($E$10,Lookups!$C$145:$D$150,2,FALSE)))),Lookups!$H$26:$J$110,3,FALSE),
IFERROR(IFERROR($D24*VLOOKUP($C24&amp;"|"&amp;VLOOKUP('Stage 2'!$E$12,Lookups!$C$154:$D$155,2,FALSE)&amp;"|"&amp;VLOOKUP('Stage 2'!$E$11,Lookups!$C$114:$E$136,3,FALSE)&amp;"|"&amp;VLOOKUP($E$10,Lookups!$C$145:$D$150,2,FALSE),Lookups!$H$26:$J$110,3,FALSE),IFERROR($D24*VLOOKUP($C24&amp;"|"&amp;"TRUE"&amp;"|"&amp;VLOOKUP('Stage 2'!$E$11,Lookups!$C$114:$E$136,3,FALSE)&amp;"|"&amp;VLOOKUP($E$10,Lookups!$C$145:$D$150,2,FALSE),Lookups!$H$26:$J$110,3,FALSE),$D24*VLOOKUP($C24&amp;"|"&amp;VLOOKUP('Stage 2'!$E$12,Lookups!$C$154:$D$155,2,FALSE)&amp;"|"&amp;VLOOKUP('Stage 2'!$E$11,Lookups!$C$114:$E$136,3,FALSE)&amp;"|"&amp;"DrainedArGr",Lookups!$H$26:$J$110,3,FALSE))),IFERROR($D24*VLOOKUP($C24&amp;"|"&amp;VLOOKUP('Stage 2'!$E$11,Lookups!$C$114:$E$136,3,FALSE),Lookups!$K$26:$M$102,3,FALSE),$D24*VLOOKUP($C24,Lookups!$D$26:$O$102,12,FALSE)))))</f>
        <v/>
      </c>
      <c r="G24" s="162"/>
    </row>
    <row r="25" spans="1:10" x14ac:dyDescent="0.25">
      <c r="A25" s="140"/>
      <c r="B25" s="1"/>
      <c r="C25" s="108"/>
      <c r="D25" s="109"/>
      <c r="E25" s="199" t="str">
        <f>IF(OR(ISBLANK($C25),ISBLANK($D25),ISBLANK($E$10),ISBLANK($E$11)),"",IFERROR($D25*VLOOKUP((IF(OR($C25="Residential urban land",$C25="Commercial/industrial urban land",$C25="Open urban land",$C25="Greenspace",$C25="Community food growing",$C25="Woodland",$C25="Shrub", $C25="Water"), "|||"&amp;$C25, (VLOOKUP('Stage 2'!$E$9,Lookups!$C$140:$D$140,2,FALSE)&amp;"|"&amp;$C25&amp;"|"&amp;VLOOKUP('Stage 2'!$E$12,Lookups!$C$154:$D$155,2,FALSE)&amp;"|"&amp;VLOOKUP('Stage 2'!$E$11,Lookups!$C$114:$E$136,3,FALSE)&amp;"|"&amp;VLOOKUP($E$10,Lookups!$C$145:$D$150,2,FALSE)))),Lookups!$H$26:$J$110,2,FALSE),
IFERROR(IFERROR($D25*VLOOKUP($C25&amp;"|"&amp;VLOOKUP('Stage 2'!$E$12,Lookups!$C$154:$D$155,2,FALSE)&amp;"|"&amp;VLOOKUP('Stage 2'!$E$11,Lookups!$C$114:$E$136,3,FALSE)&amp;"|"&amp;VLOOKUP($E$10,Lookups!$C$145:$D$150,2,FALSE),Lookups!$H$26:$J$110,2,FALSE),IFERROR($D25*VLOOKUP($C25&amp;"|"&amp;"TRUE"&amp;"|"&amp;VLOOKUP('Stage 2'!$E$11,Lookups!$C$114:$E$136,3,FALSE)&amp;"|"&amp;VLOOKUP($E$10,Lookups!$C$145:$D$150,2,FALSE),Lookups!$H$26:$J$110,2,FALSE),$D25*VLOOKUP($C25&amp;"|"&amp;VLOOKUP('Stage 2'!$E$12,Lookups!$C$154:$D$155,2,FALSE)&amp;"|"&amp;VLOOKUP('Stage 2'!$E$11,Lookups!$C$114:$E$136,3,FALSE)&amp;"|"&amp;"DrainedArGr",Lookups!$H$26:$J$110,2,FALSE))),IFERROR($D25*VLOOKUP($C25&amp;"|"&amp;VLOOKUP('Stage 2'!$E$11,Lookups!$C$114:$E$136,3,FALSE),Lookups!$K$26:$M$102,2,FALSE),$D25*VLOOKUP($C25,Lookups!$D$26:$O$102,11,FALSE)))))</f>
        <v/>
      </c>
      <c r="F25" s="187" t="str">
        <f>IF(OR(ISBLANK($C25),ISBLANK($D25),ISBLANK($E$10),ISBLANK($E$11)),"",IFERROR($D25*VLOOKUP((IF(OR($C25="Residential urban land",$C25="Commercial/industrial urban land",$C25="Open urban land",$C25="Greenspace",$C25="Community food growing",$C25="Woodland",$C25="Shrub", $C25="Water"), "|||"&amp;$C25, (VLOOKUP('Stage 2'!$E$9,Lookups!$C$140:$D$140,2,FALSE)&amp;"|"&amp;$C25&amp;"|"&amp;VLOOKUP('Stage 2'!$E$12,Lookups!$C$154:$D$155,2,FALSE)&amp;"|"&amp;VLOOKUP('Stage 2'!$E$11,Lookups!$C$114:$E$136,3,FALSE)&amp;"|"&amp;VLOOKUP($E$10,Lookups!$C$145:$D$150,2,FALSE)))),Lookups!$H$26:$J$110,3,FALSE),
IFERROR(IFERROR($D25*VLOOKUP($C25&amp;"|"&amp;VLOOKUP('Stage 2'!$E$12,Lookups!$C$154:$D$155,2,FALSE)&amp;"|"&amp;VLOOKUP('Stage 2'!$E$11,Lookups!$C$114:$E$136,3,FALSE)&amp;"|"&amp;VLOOKUP($E$10,Lookups!$C$145:$D$150,2,FALSE),Lookups!$H$26:$J$110,3,FALSE),IFERROR($D25*VLOOKUP($C25&amp;"|"&amp;"TRUE"&amp;"|"&amp;VLOOKUP('Stage 2'!$E$11,Lookups!$C$114:$E$136,3,FALSE)&amp;"|"&amp;VLOOKUP($E$10,Lookups!$C$145:$D$150,2,FALSE),Lookups!$H$26:$J$110,3,FALSE),$D25*VLOOKUP($C25&amp;"|"&amp;VLOOKUP('Stage 2'!$E$12,Lookups!$C$154:$D$155,2,FALSE)&amp;"|"&amp;VLOOKUP('Stage 2'!$E$11,Lookups!$C$114:$E$136,3,FALSE)&amp;"|"&amp;"DrainedArGr",Lookups!$H$26:$J$110,3,FALSE))),IFERROR($D25*VLOOKUP($C25&amp;"|"&amp;VLOOKUP('Stage 2'!$E$11,Lookups!$C$114:$E$136,3,FALSE),Lookups!$K$26:$M$102,3,FALSE),$D25*VLOOKUP($C25,Lookups!$D$26:$O$102,12,FALSE)))))</f>
        <v/>
      </c>
      <c r="G25" s="162"/>
    </row>
    <row r="26" spans="1:10" x14ac:dyDescent="0.25">
      <c r="A26" s="140"/>
      <c r="B26" s="1"/>
      <c r="C26" s="108"/>
      <c r="D26" s="109"/>
      <c r="E26" s="199" t="str">
        <f>IF(OR(ISBLANK($C26),ISBLANK($D26),ISBLANK($E$10),ISBLANK($E$11)),"",IFERROR($D26*VLOOKUP((IF(OR($C26="Residential urban land",$C26="Commercial/industrial urban land",$C26="Open urban land",$C26="Greenspace",$C26="Community food growing",$C26="Woodland",$C26="Shrub", $C26="Water"), "|||"&amp;$C26, (VLOOKUP('Stage 2'!$E$9,Lookups!$C$140:$D$140,2,FALSE)&amp;"|"&amp;$C26&amp;"|"&amp;VLOOKUP('Stage 2'!$E$12,Lookups!$C$154:$D$155,2,FALSE)&amp;"|"&amp;VLOOKUP('Stage 2'!$E$11,Lookups!$C$114:$E$136,3,FALSE)&amp;"|"&amp;VLOOKUP($E$10,Lookups!$C$145:$D$150,2,FALSE)))),Lookups!$H$26:$J$110,2,FALSE),
IFERROR(IFERROR($D26*VLOOKUP($C26&amp;"|"&amp;VLOOKUP('Stage 2'!$E$12,Lookups!$C$154:$D$155,2,FALSE)&amp;"|"&amp;VLOOKUP('Stage 2'!$E$11,Lookups!$C$114:$E$136,3,FALSE)&amp;"|"&amp;VLOOKUP($E$10,Lookups!$C$145:$D$150,2,FALSE),Lookups!$H$26:$J$110,2,FALSE),IFERROR($D26*VLOOKUP($C26&amp;"|"&amp;"TRUE"&amp;"|"&amp;VLOOKUP('Stage 2'!$E$11,Lookups!$C$114:$E$136,3,FALSE)&amp;"|"&amp;VLOOKUP($E$10,Lookups!$C$145:$D$150,2,FALSE),Lookups!$H$26:$J$110,2,FALSE),$D26*VLOOKUP($C26&amp;"|"&amp;VLOOKUP('Stage 2'!$E$12,Lookups!$C$154:$D$155,2,FALSE)&amp;"|"&amp;VLOOKUP('Stage 2'!$E$11,Lookups!$C$114:$E$136,3,FALSE)&amp;"|"&amp;"DrainedArGr",Lookups!$H$26:$J$110,2,FALSE))),IFERROR($D26*VLOOKUP($C26&amp;"|"&amp;VLOOKUP('Stage 2'!$E$11,Lookups!$C$114:$E$136,3,FALSE),Lookups!$K$26:$M$102,2,FALSE),$D26*VLOOKUP($C26,Lookups!$D$26:$O$102,11,FALSE)))))</f>
        <v/>
      </c>
      <c r="F26" s="187" t="str">
        <f>IF(OR(ISBLANK($C26),ISBLANK($D26),ISBLANK($E$10),ISBLANK($E$11)),"",IFERROR($D26*VLOOKUP((IF(OR($C26="Residential urban land",$C26="Commercial/industrial urban land",$C26="Open urban land",$C26="Greenspace",$C26="Community food growing",$C26="Woodland",$C26="Shrub", $C26="Water"), "|||"&amp;$C26, (VLOOKUP('Stage 2'!$E$9,Lookups!$C$140:$D$140,2,FALSE)&amp;"|"&amp;$C26&amp;"|"&amp;VLOOKUP('Stage 2'!$E$12,Lookups!$C$154:$D$155,2,FALSE)&amp;"|"&amp;VLOOKUP('Stage 2'!$E$11,Lookups!$C$114:$E$136,3,FALSE)&amp;"|"&amp;VLOOKUP($E$10,Lookups!$C$145:$D$150,2,FALSE)))),Lookups!$H$26:$J$110,3,FALSE),
IFERROR(IFERROR($D26*VLOOKUP($C26&amp;"|"&amp;VLOOKUP('Stage 2'!$E$12,Lookups!$C$154:$D$155,2,FALSE)&amp;"|"&amp;VLOOKUP('Stage 2'!$E$11,Lookups!$C$114:$E$136,3,FALSE)&amp;"|"&amp;VLOOKUP($E$10,Lookups!$C$145:$D$150,2,FALSE),Lookups!$H$26:$J$110,3,FALSE),IFERROR($D26*VLOOKUP($C26&amp;"|"&amp;"TRUE"&amp;"|"&amp;VLOOKUP('Stage 2'!$E$11,Lookups!$C$114:$E$136,3,FALSE)&amp;"|"&amp;VLOOKUP($E$10,Lookups!$C$145:$D$150,2,FALSE),Lookups!$H$26:$J$110,3,FALSE),$D26*VLOOKUP($C26&amp;"|"&amp;VLOOKUP('Stage 2'!$E$12,Lookups!$C$154:$D$155,2,FALSE)&amp;"|"&amp;VLOOKUP('Stage 2'!$E$11,Lookups!$C$114:$E$136,3,FALSE)&amp;"|"&amp;"DrainedArGr",Lookups!$H$26:$J$110,3,FALSE))),IFERROR($D26*VLOOKUP($C26&amp;"|"&amp;VLOOKUP('Stage 2'!$E$11,Lookups!$C$114:$E$136,3,FALSE),Lookups!$K$26:$M$102,3,FALSE),$D26*VLOOKUP($C26,Lookups!$D$26:$O$102,12,FALSE)))))</f>
        <v/>
      </c>
      <c r="G26" s="162"/>
    </row>
    <row r="27" spans="1:10" x14ac:dyDescent="0.25">
      <c r="A27" s="140"/>
      <c r="B27" s="1"/>
      <c r="C27" s="108"/>
      <c r="D27" s="109"/>
      <c r="E27" s="199" t="str">
        <f>IF(OR(ISBLANK($C27),ISBLANK($D27),ISBLANK($E$10),ISBLANK($E$11)),"",IFERROR($D27*VLOOKUP((IF(OR($C27="Residential urban land",$C27="Commercial/industrial urban land",$C27="Open urban land",$C27="Greenspace",$C27="Community food growing",$C27="Woodland",$C27="Shrub", $C27="Water"), "|||"&amp;$C27, (VLOOKUP('Stage 2'!$E$9,Lookups!$C$140:$D$140,2,FALSE)&amp;"|"&amp;$C27&amp;"|"&amp;VLOOKUP('Stage 2'!$E$12,Lookups!$C$154:$D$155,2,FALSE)&amp;"|"&amp;VLOOKUP('Stage 2'!$E$11,Lookups!$C$114:$E$136,3,FALSE)&amp;"|"&amp;VLOOKUP($E$10,Lookups!$C$145:$D$150,2,FALSE)))),Lookups!$H$26:$J$110,2,FALSE),
IFERROR(IFERROR($D27*VLOOKUP($C27&amp;"|"&amp;VLOOKUP('Stage 2'!$E$12,Lookups!$C$154:$D$155,2,FALSE)&amp;"|"&amp;VLOOKUP('Stage 2'!$E$11,Lookups!$C$114:$E$136,3,FALSE)&amp;"|"&amp;VLOOKUP($E$10,Lookups!$C$145:$D$150,2,FALSE),Lookups!$H$26:$J$110,2,FALSE),IFERROR($D27*VLOOKUP($C27&amp;"|"&amp;"TRUE"&amp;"|"&amp;VLOOKUP('Stage 2'!$E$11,Lookups!$C$114:$E$136,3,FALSE)&amp;"|"&amp;VLOOKUP($E$10,Lookups!$C$145:$D$150,2,FALSE),Lookups!$H$26:$J$110,2,FALSE),$D27*VLOOKUP($C27&amp;"|"&amp;VLOOKUP('Stage 2'!$E$12,Lookups!$C$154:$D$155,2,FALSE)&amp;"|"&amp;VLOOKUP('Stage 2'!$E$11,Lookups!$C$114:$E$136,3,FALSE)&amp;"|"&amp;"DrainedArGr",Lookups!$H$26:$J$110,2,FALSE))),IFERROR($D27*VLOOKUP($C27&amp;"|"&amp;VLOOKUP('Stage 2'!$E$11,Lookups!$C$114:$E$136,3,FALSE),Lookups!$K$26:$M$102,2,FALSE),$D27*VLOOKUP($C27,Lookups!$D$26:$O$102,11,FALSE)))))</f>
        <v/>
      </c>
      <c r="F27" s="187" t="str">
        <f>IF(OR(ISBLANK($C27),ISBLANK($D27),ISBLANK($E$10),ISBLANK($E$11)),"",IFERROR($D27*VLOOKUP((IF(OR($C27="Residential urban land",$C27="Commercial/industrial urban land",$C27="Open urban land",$C27="Greenspace",$C27="Community food growing",$C27="Woodland",$C27="Shrub", $C27="Water"), "|||"&amp;$C27, (VLOOKUP('Stage 2'!$E$9,Lookups!$C$140:$D$140,2,FALSE)&amp;"|"&amp;$C27&amp;"|"&amp;VLOOKUP('Stage 2'!$E$12,Lookups!$C$154:$D$155,2,FALSE)&amp;"|"&amp;VLOOKUP('Stage 2'!$E$11,Lookups!$C$114:$E$136,3,FALSE)&amp;"|"&amp;VLOOKUP($E$10,Lookups!$C$145:$D$150,2,FALSE)))),Lookups!$H$26:$J$110,3,FALSE),
IFERROR(IFERROR($D27*VLOOKUP($C27&amp;"|"&amp;VLOOKUP('Stage 2'!$E$12,Lookups!$C$154:$D$155,2,FALSE)&amp;"|"&amp;VLOOKUP('Stage 2'!$E$11,Lookups!$C$114:$E$136,3,FALSE)&amp;"|"&amp;VLOOKUP($E$10,Lookups!$C$145:$D$150,2,FALSE),Lookups!$H$26:$J$110,3,FALSE),IFERROR($D27*VLOOKUP($C27&amp;"|"&amp;"TRUE"&amp;"|"&amp;VLOOKUP('Stage 2'!$E$11,Lookups!$C$114:$E$136,3,FALSE)&amp;"|"&amp;VLOOKUP($E$10,Lookups!$C$145:$D$150,2,FALSE),Lookups!$H$26:$J$110,3,FALSE),$D27*VLOOKUP($C27&amp;"|"&amp;VLOOKUP('Stage 2'!$E$12,Lookups!$C$154:$D$155,2,FALSE)&amp;"|"&amp;VLOOKUP('Stage 2'!$E$11,Lookups!$C$114:$E$136,3,FALSE)&amp;"|"&amp;"DrainedArGr",Lookups!$H$26:$J$110,3,FALSE))),IFERROR($D27*VLOOKUP($C27&amp;"|"&amp;VLOOKUP('Stage 2'!$E$11,Lookups!$C$114:$E$136,3,FALSE),Lookups!$K$26:$M$102,3,FALSE),$D27*VLOOKUP($C27,Lookups!$D$26:$O$102,12,FALSE)))))</f>
        <v/>
      </c>
      <c r="G27" s="162"/>
    </row>
    <row r="28" spans="1:10" x14ac:dyDescent="0.25">
      <c r="A28" s="140"/>
      <c r="B28" s="1"/>
      <c r="C28" s="108"/>
      <c r="D28" s="109"/>
      <c r="E28" s="199" t="str">
        <f>IF(OR(ISBLANK($C28),ISBLANK($D28),ISBLANK($E$10),ISBLANK($E$11)),"",IFERROR($D28*VLOOKUP((IF(OR($C28="Residential urban land",$C28="Commercial/industrial urban land",$C28="Open urban land",$C28="Greenspace",$C28="Community food growing",$C28="Woodland",$C28="Shrub", $C28="Water"), "|||"&amp;$C28, (VLOOKUP('Stage 2'!$E$9,Lookups!$C$140:$D$140,2,FALSE)&amp;"|"&amp;$C28&amp;"|"&amp;VLOOKUP('Stage 2'!$E$12,Lookups!$C$154:$D$155,2,FALSE)&amp;"|"&amp;VLOOKUP('Stage 2'!$E$11,Lookups!$C$114:$E$136,3,FALSE)&amp;"|"&amp;VLOOKUP($E$10,Lookups!$C$145:$D$150,2,FALSE)))),Lookups!$H$26:$J$110,2,FALSE),
IFERROR(IFERROR($D28*VLOOKUP($C28&amp;"|"&amp;VLOOKUP('Stage 2'!$E$12,Lookups!$C$154:$D$155,2,FALSE)&amp;"|"&amp;VLOOKUP('Stage 2'!$E$11,Lookups!$C$114:$E$136,3,FALSE)&amp;"|"&amp;VLOOKUP($E$10,Lookups!$C$145:$D$150,2,FALSE),Lookups!$H$26:$J$110,2,FALSE),IFERROR($D28*VLOOKUP($C28&amp;"|"&amp;"TRUE"&amp;"|"&amp;VLOOKUP('Stage 2'!$E$11,Lookups!$C$114:$E$136,3,FALSE)&amp;"|"&amp;VLOOKUP($E$10,Lookups!$C$145:$D$150,2,FALSE),Lookups!$H$26:$J$110,2,FALSE),$D28*VLOOKUP($C28&amp;"|"&amp;VLOOKUP('Stage 2'!$E$12,Lookups!$C$154:$D$155,2,FALSE)&amp;"|"&amp;VLOOKUP('Stage 2'!$E$11,Lookups!$C$114:$E$136,3,FALSE)&amp;"|"&amp;"DrainedArGr",Lookups!$H$26:$J$110,2,FALSE))),IFERROR($D28*VLOOKUP($C28&amp;"|"&amp;VLOOKUP('Stage 2'!$E$11,Lookups!$C$114:$E$136,3,FALSE),Lookups!$K$26:$M$102,2,FALSE),$D28*VLOOKUP($C28,Lookups!$D$26:$O$102,11,FALSE)))))</f>
        <v/>
      </c>
      <c r="F28" s="187" t="str">
        <f>IF(OR(ISBLANK($C28),ISBLANK($D28),ISBLANK($E$10),ISBLANK($E$11)),"",IFERROR($D28*VLOOKUP((IF(OR($C28="Residential urban land",$C28="Commercial/industrial urban land",$C28="Open urban land",$C28="Greenspace",$C28="Community food growing",$C28="Woodland",$C28="Shrub", $C28="Water"), "|||"&amp;$C28, (VLOOKUP('Stage 2'!$E$9,Lookups!$C$140:$D$140,2,FALSE)&amp;"|"&amp;$C28&amp;"|"&amp;VLOOKUP('Stage 2'!$E$12,Lookups!$C$154:$D$155,2,FALSE)&amp;"|"&amp;VLOOKUP('Stage 2'!$E$11,Lookups!$C$114:$E$136,3,FALSE)&amp;"|"&amp;VLOOKUP($E$10,Lookups!$C$145:$D$150,2,FALSE)))),Lookups!$H$26:$J$110,3,FALSE),
IFERROR(IFERROR($D28*VLOOKUP($C28&amp;"|"&amp;VLOOKUP('Stage 2'!$E$12,Lookups!$C$154:$D$155,2,FALSE)&amp;"|"&amp;VLOOKUP('Stage 2'!$E$11,Lookups!$C$114:$E$136,3,FALSE)&amp;"|"&amp;VLOOKUP($E$10,Lookups!$C$145:$D$150,2,FALSE),Lookups!$H$26:$J$110,3,FALSE),IFERROR($D28*VLOOKUP($C28&amp;"|"&amp;"TRUE"&amp;"|"&amp;VLOOKUP('Stage 2'!$E$11,Lookups!$C$114:$E$136,3,FALSE)&amp;"|"&amp;VLOOKUP($E$10,Lookups!$C$145:$D$150,2,FALSE),Lookups!$H$26:$J$110,3,FALSE),$D28*VLOOKUP($C28&amp;"|"&amp;VLOOKUP('Stage 2'!$E$12,Lookups!$C$154:$D$155,2,FALSE)&amp;"|"&amp;VLOOKUP('Stage 2'!$E$11,Lookups!$C$114:$E$136,3,FALSE)&amp;"|"&amp;"DrainedArGr",Lookups!$H$26:$J$110,3,FALSE))),IFERROR($D28*VLOOKUP($C28&amp;"|"&amp;VLOOKUP('Stage 2'!$E$11,Lookups!$C$114:$E$136,3,FALSE),Lookups!$K$26:$M$102,3,FALSE),$D28*VLOOKUP($C28,Lookups!$D$26:$O$102,12,FALSE)))))</f>
        <v/>
      </c>
      <c r="G28" s="162"/>
      <c r="I28" s="171"/>
    </row>
    <row r="29" spans="1:10" x14ac:dyDescent="0.25">
      <c r="A29" s="140"/>
      <c r="B29" s="1"/>
      <c r="C29" s="108"/>
      <c r="D29" s="109"/>
      <c r="E29" s="199" t="str">
        <f>IF(OR(ISBLANK($C29),ISBLANK($D29),ISBLANK($E$10),ISBLANK($E$11)),"",IFERROR($D29*VLOOKUP((IF(OR($C29="Residential urban land",$C29="Commercial/industrial urban land",$C29="Open urban land",$C29="Greenspace",$C29="Community food growing",$C29="Woodland",$C29="Shrub", $C29="Water"), "|||"&amp;$C29, (VLOOKUP('Stage 2'!$E$9,Lookups!$C$140:$D$140,2,FALSE)&amp;"|"&amp;$C29&amp;"|"&amp;VLOOKUP('Stage 2'!$E$12,Lookups!$C$154:$D$155,2,FALSE)&amp;"|"&amp;VLOOKUP('Stage 2'!$E$11,Lookups!$C$114:$E$136,3,FALSE)&amp;"|"&amp;VLOOKUP($E$10,Lookups!$C$145:$D$150,2,FALSE)))),Lookups!$H$26:$J$110,2,FALSE),
IFERROR(IFERROR($D29*VLOOKUP($C29&amp;"|"&amp;VLOOKUP('Stage 2'!$E$12,Lookups!$C$154:$D$155,2,FALSE)&amp;"|"&amp;VLOOKUP('Stage 2'!$E$11,Lookups!$C$114:$E$136,3,FALSE)&amp;"|"&amp;VLOOKUP($E$10,Lookups!$C$145:$D$150,2,FALSE),Lookups!$H$26:$J$110,2,FALSE),IFERROR($D29*VLOOKUP($C29&amp;"|"&amp;"TRUE"&amp;"|"&amp;VLOOKUP('Stage 2'!$E$11,Lookups!$C$114:$E$136,3,FALSE)&amp;"|"&amp;VLOOKUP($E$10,Lookups!$C$145:$D$150,2,FALSE),Lookups!$H$26:$J$110,2,FALSE),$D29*VLOOKUP($C29&amp;"|"&amp;VLOOKUP('Stage 2'!$E$12,Lookups!$C$154:$D$155,2,FALSE)&amp;"|"&amp;VLOOKUP('Stage 2'!$E$11,Lookups!$C$114:$E$136,3,FALSE)&amp;"|"&amp;"DrainedArGr",Lookups!$H$26:$J$110,2,FALSE))),IFERROR($D29*VLOOKUP($C29&amp;"|"&amp;VLOOKUP('Stage 2'!$E$11,Lookups!$C$114:$E$136,3,FALSE),Lookups!$K$26:$M$102,2,FALSE),$D29*VLOOKUP($C29,Lookups!$D$26:$O$102,11,FALSE)))))</f>
        <v/>
      </c>
      <c r="F29" s="187" t="str">
        <f>IF(OR(ISBLANK($C29),ISBLANK($D29),ISBLANK($E$10),ISBLANK($E$11)),"",IFERROR($D29*VLOOKUP((IF(OR($C29="Residential urban land",$C29="Commercial/industrial urban land",$C29="Open urban land",$C29="Greenspace",$C29="Community food growing",$C29="Woodland",$C29="Shrub", $C29="Water"), "|||"&amp;$C29, (VLOOKUP('Stage 2'!$E$9,Lookups!$C$140:$D$140,2,FALSE)&amp;"|"&amp;$C29&amp;"|"&amp;VLOOKUP('Stage 2'!$E$12,Lookups!$C$154:$D$155,2,FALSE)&amp;"|"&amp;VLOOKUP('Stage 2'!$E$11,Lookups!$C$114:$E$136,3,FALSE)&amp;"|"&amp;VLOOKUP($E$10,Lookups!$C$145:$D$150,2,FALSE)))),Lookups!$H$26:$J$110,3,FALSE),
IFERROR(IFERROR($D29*VLOOKUP($C29&amp;"|"&amp;VLOOKUP('Stage 2'!$E$12,Lookups!$C$154:$D$155,2,FALSE)&amp;"|"&amp;VLOOKUP('Stage 2'!$E$11,Lookups!$C$114:$E$136,3,FALSE)&amp;"|"&amp;VLOOKUP($E$10,Lookups!$C$145:$D$150,2,FALSE),Lookups!$H$26:$J$110,3,FALSE),IFERROR($D29*VLOOKUP($C29&amp;"|"&amp;"TRUE"&amp;"|"&amp;VLOOKUP('Stage 2'!$E$11,Lookups!$C$114:$E$136,3,FALSE)&amp;"|"&amp;VLOOKUP($E$10,Lookups!$C$145:$D$150,2,FALSE),Lookups!$H$26:$J$110,3,FALSE),$D29*VLOOKUP($C29&amp;"|"&amp;VLOOKUP('Stage 2'!$E$12,Lookups!$C$154:$D$155,2,FALSE)&amp;"|"&amp;VLOOKUP('Stage 2'!$E$11,Lookups!$C$114:$E$136,3,FALSE)&amp;"|"&amp;"DrainedArGr",Lookups!$H$26:$J$110,3,FALSE))),IFERROR($D29*VLOOKUP($C29&amp;"|"&amp;VLOOKUP('Stage 2'!$E$11,Lookups!$C$114:$E$136,3,FALSE),Lookups!$K$26:$M$102,3,FALSE),$D29*VLOOKUP($C29,Lookups!$D$26:$O$102,12,FALSE)))))</f>
        <v/>
      </c>
      <c r="G29" s="162"/>
    </row>
    <row r="30" spans="1:10" x14ac:dyDescent="0.25">
      <c r="A30" s="140"/>
      <c r="B30" s="1"/>
      <c r="C30" s="108"/>
      <c r="D30" s="109"/>
      <c r="E30" s="199" t="str">
        <f>IF(OR(ISBLANK($C30),ISBLANK($D30),ISBLANK($E$10),ISBLANK($E$11)),"",IFERROR($D30*VLOOKUP((IF(OR($C30="Residential urban land",$C30="Commercial/industrial urban land",$C30="Open urban land",$C30="Greenspace",$C30="Community food growing",$C30="Woodland",$C30="Shrub", $C30="Water"), "|||"&amp;$C30, (VLOOKUP('Stage 2'!$E$9,Lookups!$C$140:$D$140,2,FALSE)&amp;"|"&amp;$C30&amp;"|"&amp;VLOOKUP('Stage 2'!$E$12,Lookups!$C$154:$D$155,2,FALSE)&amp;"|"&amp;VLOOKUP('Stage 2'!$E$11,Lookups!$C$114:$E$136,3,FALSE)&amp;"|"&amp;VLOOKUP($E$10,Lookups!$C$145:$D$150,2,FALSE)))),Lookups!$H$26:$J$110,2,FALSE),
IFERROR(IFERROR($D30*VLOOKUP($C30&amp;"|"&amp;VLOOKUP('Stage 2'!$E$12,Lookups!$C$154:$D$155,2,FALSE)&amp;"|"&amp;VLOOKUP('Stage 2'!$E$11,Lookups!$C$114:$E$136,3,FALSE)&amp;"|"&amp;VLOOKUP($E$10,Lookups!$C$145:$D$150,2,FALSE),Lookups!$H$26:$J$110,2,FALSE),IFERROR($D30*VLOOKUP($C30&amp;"|"&amp;"TRUE"&amp;"|"&amp;VLOOKUP('Stage 2'!$E$11,Lookups!$C$114:$E$136,3,FALSE)&amp;"|"&amp;VLOOKUP($E$10,Lookups!$C$145:$D$150,2,FALSE),Lookups!$H$26:$J$110,2,FALSE),$D30*VLOOKUP($C30&amp;"|"&amp;VLOOKUP('Stage 2'!$E$12,Lookups!$C$154:$D$155,2,FALSE)&amp;"|"&amp;VLOOKUP('Stage 2'!$E$11,Lookups!$C$114:$E$136,3,FALSE)&amp;"|"&amp;"DrainedArGr",Lookups!$H$26:$J$110,2,FALSE))),IFERROR($D30*VLOOKUP($C30&amp;"|"&amp;VLOOKUP('Stage 2'!$E$11,Lookups!$C$114:$E$136,3,FALSE),Lookups!$K$26:$M$102,2,FALSE),$D30*VLOOKUP($C30,Lookups!$D$26:$O$102,11,FALSE)))))</f>
        <v/>
      </c>
      <c r="F30" s="187" t="str">
        <f>IF(OR(ISBLANK($C30),ISBLANK($D30),ISBLANK($E$10),ISBLANK($E$11)),"",IFERROR($D30*VLOOKUP((IF(OR($C30="Residential urban land",$C30="Commercial/industrial urban land",$C30="Open urban land",$C30="Greenspace",$C30="Community food growing",$C30="Woodland",$C30="Shrub", $C30="Water"), "|||"&amp;$C30, (VLOOKUP('Stage 2'!$E$9,Lookups!$C$140:$D$140,2,FALSE)&amp;"|"&amp;$C30&amp;"|"&amp;VLOOKUP('Stage 2'!$E$12,Lookups!$C$154:$D$155,2,FALSE)&amp;"|"&amp;VLOOKUP('Stage 2'!$E$11,Lookups!$C$114:$E$136,3,FALSE)&amp;"|"&amp;VLOOKUP($E$10,Lookups!$C$145:$D$150,2,FALSE)))),Lookups!$H$26:$J$110,3,FALSE),
IFERROR(IFERROR($D30*VLOOKUP($C30&amp;"|"&amp;VLOOKUP('Stage 2'!$E$12,Lookups!$C$154:$D$155,2,FALSE)&amp;"|"&amp;VLOOKUP('Stage 2'!$E$11,Lookups!$C$114:$E$136,3,FALSE)&amp;"|"&amp;VLOOKUP($E$10,Lookups!$C$145:$D$150,2,FALSE),Lookups!$H$26:$J$110,3,FALSE),IFERROR($D30*VLOOKUP($C30&amp;"|"&amp;"TRUE"&amp;"|"&amp;VLOOKUP('Stage 2'!$E$11,Lookups!$C$114:$E$136,3,FALSE)&amp;"|"&amp;VLOOKUP($E$10,Lookups!$C$145:$D$150,2,FALSE),Lookups!$H$26:$J$110,3,FALSE),$D30*VLOOKUP($C30&amp;"|"&amp;VLOOKUP('Stage 2'!$E$12,Lookups!$C$154:$D$155,2,FALSE)&amp;"|"&amp;VLOOKUP('Stage 2'!$E$11,Lookups!$C$114:$E$136,3,FALSE)&amp;"|"&amp;"DrainedArGr",Lookups!$H$26:$J$110,3,FALSE))),IFERROR($D30*VLOOKUP($C30&amp;"|"&amp;VLOOKUP('Stage 2'!$E$11,Lookups!$C$114:$E$136,3,FALSE),Lookups!$K$26:$M$102,3,FALSE),$D30*VLOOKUP($C30,Lookups!$D$26:$O$102,12,FALSE)))))</f>
        <v/>
      </c>
      <c r="G30" s="162"/>
    </row>
    <row r="31" spans="1:10" ht="15.75" thickBot="1" x14ac:dyDescent="0.3">
      <c r="A31" s="140"/>
      <c r="B31" s="1"/>
      <c r="C31" s="108"/>
      <c r="D31" s="110"/>
      <c r="E31" s="200" t="str">
        <f>IF(OR(ISBLANK($C31),ISBLANK($D31),ISBLANK($E$10),ISBLANK($E$11)),"",IFERROR($D31*VLOOKUP((IF(OR($C31="Residential urban land",$C31="Commercial/industrial urban land",$C31="Open urban land",$C31="Greenspace",$C31="Community food growing",$C31="Woodland",$C31="Shrub", $C31="Water"), "|||"&amp;$C31, (VLOOKUP('Stage 2'!$E$9,Lookups!$C$140:$D$140,2,FALSE)&amp;"|"&amp;$C31&amp;"|"&amp;VLOOKUP('Stage 2'!$E$12,Lookups!$C$154:$D$155,2,FALSE)&amp;"|"&amp;VLOOKUP('Stage 2'!$E$11,Lookups!$C$114:$E$136,3,FALSE)&amp;"|"&amp;VLOOKUP($E$10,Lookups!$C$145:$D$150,2,FALSE)))),Lookups!$H$26:$J$110,2,FALSE),
IFERROR(IFERROR($D31*VLOOKUP($C31&amp;"|"&amp;VLOOKUP('Stage 2'!$E$12,Lookups!$C$154:$D$155,2,FALSE)&amp;"|"&amp;VLOOKUP('Stage 2'!$E$11,Lookups!$C$114:$E$136,3,FALSE)&amp;"|"&amp;VLOOKUP($E$10,Lookups!$C$145:$D$150,2,FALSE),Lookups!$H$26:$J$110,2,FALSE),IFERROR($D31*VLOOKUP($C31&amp;"|"&amp;"TRUE"&amp;"|"&amp;VLOOKUP('Stage 2'!$E$11,Lookups!$C$114:$E$136,3,FALSE)&amp;"|"&amp;VLOOKUP($E$10,Lookups!$C$145:$D$150,2,FALSE),Lookups!$H$26:$J$110,2,FALSE),$D31*VLOOKUP($C31&amp;"|"&amp;VLOOKUP('Stage 2'!$E$12,Lookups!$C$154:$D$155,2,FALSE)&amp;"|"&amp;VLOOKUP('Stage 2'!$E$11,Lookups!$C$114:$E$136,3,FALSE)&amp;"|"&amp;"DrainedArGr",Lookups!$H$26:$J$110,2,FALSE))),IFERROR($D31*VLOOKUP($C31&amp;"|"&amp;VLOOKUP('Stage 2'!$E$11,Lookups!$C$114:$E$136,3,FALSE),Lookups!$K$26:$M$102,2,FALSE),$D31*VLOOKUP($C31,Lookups!$D$26:$O$102,11,FALSE)))))</f>
        <v/>
      </c>
      <c r="F31" s="118" t="str">
        <f>IF(OR(ISBLANK($C31),ISBLANK($D31),ISBLANK($E$10),ISBLANK($E$11)),"",IFERROR($D31*VLOOKUP((IF(OR($C31="Residential urban land",$C31="Commercial/industrial urban land",$C31="Open urban land",$C31="Greenspace",$C31="Community food growing",$C31="Woodland",$C31="Shrub", $C31="Water"), "|||"&amp;$C31, (VLOOKUP('Stage 2'!$E$9,Lookups!$C$140:$D$140,2,FALSE)&amp;"|"&amp;$C31&amp;"|"&amp;VLOOKUP('Stage 2'!$E$12,Lookups!$C$154:$D$155,2,FALSE)&amp;"|"&amp;VLOOKUP('Stage 2'!$E$11,Lookups!$C$114:$E$136,3,FALSE)&amp;"|"&amp;VLOOKUP($E$10,Lookups!$C$145:$D$150,2,FALSE)))),Lookups!$H$26:$J$110,3,FALSE),
IFERROR(IFERROR($D31*VLOOKUP($C31&amp;"|"&amp;VLOOKUP('Stage 2'!$E$12,Lookups!$C$154:$D$155,2,FALSE)&amp;"|"&amp;VLOOKUP('Stage 2'!$E$11,Lookups!$C$114:$E$136,3,FALSE)&amp;"|"&amp;VLOOKUP($E$10,Lookups!$C$145:$D$150,2,FALSE),Lookups!$H$26:$J$110,3,FALSE),IFERROR($D31*VLOOKUP($C31&amp;"|"&amp;"TRUE"&amp;"|"&amp;VLOOKUP('Stage 2'!$E$11,Lookups!$C$114:$E$136,3,FALSE)&amp;"|"&amp;VLOOKUP($E$10,Lookups!$C$145:$D$150,2,FALSE),Lookups!$H$26:$J$110,3,FALSE),$D31*VLOOKUP($C31&amp;"|"&amp;VLOOKUP('Stage 2'!$E$12,Lookups!$C$154:$D$155,2,FALSE)&amp;"|"&amp;VLOOKUP('Stage 2'!$E$11,Lookups!$C$114:$E$136,3,FALSE)&amp;"|"&amp;"DrainedArGr",Lookups!$H$26:$J$110,3,FALSE))),IFERROR($D31*VLOOKUP($C31&amp;"|"&amp;VLOOKUP('Stage 2'!$E$11,Lookups!$C$114:$E$136,3,FALSE),Lookups!$K$26:$M$102,3,FALSE),$D31*VLOOKUP($C31,Lookups!$D$26:$O$102,12,FALSE)))))</f>
        <v/>
      </c>
      <c r="G31" s="162"/>
    </row>
    <row r="32" spans="1:10" x14ac:dyDescent="0.25">
      <c r="A32" s="140"/>
      <c r="B32" s="1"/>
      <c r="C32" s="75" t="s">
        <v>83</v>
      </c>
      <c r="D32" s="101">
        <f>SUM(D15:D31)</f>
        <v>0</v>
      </c>
      <c r="E32" s="186">
        <f>SUM(E15:E31)</f>
        <v>0</v>
      </c>
      <c r="F32" s="197">
        <f>SUM(F15:F31)</f>
        <v>0</v>
      </c>
      <c r="G32" s="121"/>
    </row>
    <row r="33" spans="1:7" ht="15.75" thickBot="1" x14ac:dyDescent="0.3">
      <c r="A33" s="140"/>
      <c r="B33" s="154"/>
      <c r="C33" s="136"/>
      <c r="D33" s="136"/>
      <c r="E33" s="136"/>
      <c r="F33" s="136"/>
      <c r="G33" s="137"/>
    </row>
    <row r="34" spans="1:7" ht="15.75" thickTop="1" x14ac:dyDescent="0.25"/>
  </sheetData>
  <sheetProtection algorithmName="SHA-512" hashValue="7z9cV9HxL2Vgkw36pTAb+2Dqr5PsoIBA/06RGRU02WWAmMSaWnILqBat9xpdPBOAOlnXzF7k2bsER1SUCxYXWg==" saltValue="2hpLztwZqsYdFh64ZPdDAA==" spinCount="100000" sheet="1" selectLockedCells="1"/>
  <protectedRanges>
    <protectedRange algorithmName="SHA-512" hashValue="6MaqfLmjxE2CMsYMEtptASTKbC7XykMYNd+AlVy+V2v/64BykwcwkRmAkImBIYM0n+Am+TaTWEeHGgFZHNJWgA==" saltValue="1lVOneDC33VcvqS0774YtQ==" spinCount="100000" sqref="E9:E12 C15:D31" name="Range1"/>
  </protectedRanges>
  <mergeCells count="6">
    <mergeCell ref="C12:D12"/>
    <mergeCell ref="C9:D9"/>
    <mergeCell ref="C10:D10"/>
    <mergeCell ref="C11:D11"/>
    <mergeCell ref="B3:G5"/>
    <mergeCell ref="C7:F7"/>
  </mergeCells>
  <dataValidations xWindow="572" yWindow="292" count="1">
    <dataValidation allowBlank="1" showInputMessage="1" showErrorMessage="1" prompt="Please enter area in hectares." sqref="D15:D31" xr:uid="{7A3F0B97-DB05-43E3-94F5-093694D5E348}"/>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xWindow="572" yWindow="292" count="5">
        <x14:dataValidation type="list" operator="greaterThan" allowBlank="1" showInputMessage="1" showErrorMessage="1" errorTitle="Catchment Error" error="Please enter your catchment." prompt="Please enter the Operational Catchment that the development site is within. If unsure Please see the instructions page (Section 3.1) for guidance on how to determine this." xr:uid="{B2B19558-C6B4-46F2-B681-B62D4CF291FE}">
          <x14:formula1>
            <xm:f>Lookups!$D$140</xm:f>
          </x14:formula1>
          <xm:sqref>E9</xm:sqref>
        </x14:dataValidation>
        <x14:dataValidation type="list" allowBlank="1" showInputMessage="1" showErrorMessage="1" errorTitle="Rainfall" error="Rainfall must be entered from the drop down list." prompt="Please enter the annual average rainfall for the development site. If unsure please see the instructions page (Section 3.3) for guidance on how to determine this. If the rainfall volume is not on the list, please select the nearest value." xr:uid="{506A711F-D616-42C7-91D7-47C349233471}">
          <x14:formula1>
            <xm:f>Lookups!$C$118:$C$125</xm:f>
          </x14:formula1>
          <xm:sqref>E11</xm:sqref>
        </x14:dataValidation>
        <x14:dataValidation type="list" showInputMessage="1" showErrorMessage="1" errorTitle="NVZ" error="Please select whether development area is within an NVZ." prompt="Please select whether the development area is within an NVZ. If unsure please see the instructions page (Section 3.4) for guidance on how to determine this. " xr:uid="{9F25A89B-2F33-4BD1-97BD-EA33B22A96BB}">
          <x14:formula1>
            <xm:f>Lookups!$C$154</xm:f>
          </x14:formula1>
          <xm:sqref>E12</xm:sqref>
        </x14:dataValidation>
        <x14:dataValidation type="list" operator="greaterThan" allowBlank="1" showInputMessage="1" showErrorMessage="1" errorTitle="Soil drainage type" error="Pleas enter the soil drainage type for the development site." prompt="Please enter the soil drainage type for the development site. If unsure please see the instructions page (Section 3.2) for guidance on how to determine this." xr:uid="{30EB6C55-0D33-4679-BDCD-D3A716B82E75}">
          <x14:formula1>
            <xm:f>Lookups!$C$145:$C$150</xm:f>
          </x14:formula1>
          <xm:sqref>E10</xm:sqref>
        </x14:dataValidation>
        <x14:dataValidation type="list" allowBlank="1" showInputMessage="1" showErrorMessage="1" errorTitle="Landcover" error="Please select all pre exisitng landcover types." prompt="Select exisiting (pre-development) land use types from the drop down list." xr:uid="{992ADEAC-2247-4596-A0CE-29D439F892B1}">
          <x14:formula1>
            <xm:f>Lookups!$I$140:$I$154</xm:f>
          </x14:formula1>
          <xm:sqref>C15:C31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F1268-2FDD-4208-B879-2DF0627A5BBD}">
  <dimension ref="A3:K29"/>
  <sheetViews>
    <sheetView showRowColHeaders="0" zoomScaleNormal="100" workbookViewId="0">
      <selection activeCell="C10" sqref="C10"/>
    </sheetView>
  </sheetViews>
  <sheetFormatPr defaultColWidth="9.140625" defaultRowHeight="15" x14ac:dyDescent="0.25"/>
  <cols>
    <col min="1" max="1" width="9.140625" style="139"/>
    <col min="2" max="2" width="4.7109375" style="139" customWidth="1"/>
    <col min="3" max="3" width="32" style="139" customWidth="1"/>
    <col min="4" max="4" width="12.42578125" style="139" customWidth="1"/>
    <col min="5" max="5" width="19.5703125" style="139" customWidth="1"/>
    <col min="6" max="6" width="18.85546875" style="139" hidden="1" customWidth="1"/>
    <col min="7" max="7" width="4.5703125" style="139" customWidth="1"/>
    <col min="8" max="16384" width="9.140625" style="139"/>
  </cols>
  <sheetData>
    <row r="3" spans="1:9" x14ac:dyDescent="0.25">
      <c r="A3" s="140"/>
      <c r="B3" s="266" t="s">
        <v>197</v>
      </c>
      <c r="C3" s="275"/>
      <c r="D3" s="275"/>
      <c r="E3" s="275"/>
      <c r="F3" s="275"/>
      <c r="G3" s="268"/>
    </row>
    <row r="4" spans="1:9" x14ac:dyDescent="0.25">
      <c r="A4" s="140"/>
      <c r="B4" s="266"/>
      <c r="C4" s="275"/>
      <c r="D4" s="275"/>
      <c r="E4" s="275"/>
      <c r="F4" s="275"/>
      <c r="G4" s="268"/>
    </row>
    <row r="5" spans="1:9" x14ac:dyDescent="0.25">
      <c r="A5" s="140"/>
      <c r="B5" s="266"/>
      <c r="C5" s="275"/>
      <c r="D5" s="275"/>
      <c r="E5" s="275"/>
      <c r="F5" s="275"/>
      <c r="G5" s="268"/>
    </row>
    <row r="6" spans="1:9" ht="17.25" x14ac:dyDescent="0.25">
      <c r="A6" s="140"/>
      <c r="B6" s="4"/>
      <c r="C6" s="1"/>
      <c r="D6" s="1"/>
      <c r="E6" s="1"/>
      <c r="F6" s="1"/>
      <c r="G6" s="152"/>
    </row>
    <row r="7" spans="1:9" ht="18" customHeight="1" x14ac:dyDescent="0.25">
      <c r="A7" s="140"/>
      <c r="B7" s="4"/>
      <c r="C7" s="271" t="s">
        <v>192</v>
      </c>
      <c r="D7" s="271"/>
      <c r="E7" s="271"/>
      <c r="F7" s="271"/>
      <c r="G7" s="151"/>
    </row>
    <row r="8" spans="1:9" x14ac:dyDescent="0.25">
      <c r="A8" s="140"/>
      <c r="B8" s="1"/>
      <c r="C8" s="1"/>
      <c r="D8" s="1"/>
      <c r="E8" s="1"/>
      <c r="F8" s="1"/>
      <c r="G8" s="121"/>
    </row>
    <row r="9" spans="1:9" ht="68.25" customHeight="1" thickBot="1" x14ac:dyDescent="0.3">
      <c r="A9" s="140"/>
      <c r="B9" s="1"/>
      <c r="C9" s="76" t="s">
        <v>143</v>
      </c>
      <c r="D9" s="76" t="s">
        <v>97</v>
      </c>
      <c r="E9" s="196" t="s">
        <v>194</v>
      </c>
      <c r="F9" s="74" t="s">
        <v>201</v>
      </c>
      <c r="G9" s="121"/>
    </row>
    <row r="10" spans="1:9" x14ac:dyDescent="0.25">
      <c r="A10" s="140"/>
      <c r="B10" s="1"/>
      <c r="C10" s="108"/>
      <c r="D10" s="109"/>
      <c r="E10" s="187" t="str">
        <f>IF(OR(ISBLANK(C10),ISBLANK(D10)),"",D10*VLOOKUP((IF(OR(C10="Residential urban land",C10="Commercial/industrial urban land",C10="Open urban land",C10="Greenspace",C10="Community food growing",C10="Woodland",C10="Shrub", C10="Water"), "|||"&amp;C10, (VLOOKUP('Stage 2'!$E$9,Lookups!$C$140:$D$140,2,FALSE)&amp;"|"&amp;C10&amp;"|"&amp;VLOOKUP('Stage 2'!$E$12,Lookups!$C$154:$D$155,2,FALSE)&amp;"|"&amp;VLOOKUP('Stage 2'!$E$11,Lookups!$C$114:$E$136,3,FALSE)&amp;"|"&amp;VLOOKUP('Stage 2'!$E$10,Lookups!$C$145:$E$150,2,FALSE)))),Lookups!$H$26:$J$110,2,FALSE))</f>
        <v/>
      </c>
      <c r="F10" s="77" t="str">
        <f>IF(OR(ISBLANK(C10),ISBLANK(D10)),"",D10*VLOOKUP((IF(OR(C10="Residential urban land",C10="Commercial/industrial urban land",C10="Open urban land",C10="Greenspace",C10="Community food growing",C10="Woodland",C10="Shrub", C10="Water"), "|||"&amp;C10, (VLOOKUP('Stage 2'!$E$9,Lookups!$C$140:$D$140,2,FALSE)&amp;"|"&amp;C10&amp;"|"&amp;VLOOKUP('Stage 2'!$E$12,Lookups!$C$154:$D$155,2,FALSE)&amp;"|"&amp;VLOOKUP('Stage 2'!$E$11,Lookups!$C$114:$E$136,3,FALSE)&amp;"|"&amp;VLOOKUP('Stage 2'!$E$10,Lookups!#REF!,2,FALSE)))),Lookups!$H$26:$J$110,3,FALSE))</f>
        <v/>
      </c>
      <c r="G10" s="121"/>
    </row>
    <row r="11" spans="1:9" x14ac:dyDescent="0.25">
      <c r="A11" s="140"/>
      <c r="B11" s="1"/>
      <c r="C11" s="108"/>
      <c r="D11" s="109"/>
      <c r="E11" s="187" t="str">
        <f>IF(OR(ISBLANK(C11),ISBLANK(D11)),"",D11*VLOOKUP((IF(OR(C11="Residential urban land",C11="Commercial/industrial urban land",C11="Open urban land",C11="Greenspace",C11="Community food growing",C11="Woodland",C11="Shrub", C11="Water"), "|||"&amp;C11, (VLOOKUP('Stage 2'!$E$9,Lookups!$C$140:$D$140,2,FALSE)&amp;"|"&amp;C11&amp;"|"&amp;VLOOKUP('Stage 2'!$E$12,Lookups!$C$154:$D$155,2,FALSE)&amp;"|"&amp;VLOOKUP('Stage 2'!$E$11,Lookups!$C$114:$E$136,3,FALSE)&amp;"|"&amp;VLOOKUP('Stage 2'!$E$10,Lookups!$C$145:$E$150,2,FALSE)))),Lookups!$H$26:$J$110,2,FALSE))</f>
        <v/>
      </c>
      <c r="F11" s="77" t="str">
        <f>IF(OR(ISBLANK(C11),ISBLANK(D11)),"",D11*VLOOKUP((IF(OR(C11="Residential urban land",C11="Commercial/industrial urban land",C11="Open urban land",C11="Greenspace",C11="Community food growing",C11="Woodland",C11="Shrub", C11="Water"), "|||"&amp;C11, (VLOOKUP('Stage 2'!$E$9,Lookups!$C$140:$D$140,2,FALSE)&amp;"|"&amp;C11&amp;"|"&amp;VLOOKUP('Stage 2'!$E$12,Lookups!$C$154:$D$155,2,FALSE)&amp;"|"&amp;VLOOKUP('Stage 2'!$E$11,Lookups!$C$114:$E$136,3,FALSE)&amp;"|"&amp;VLOOKUP('Stage 2'!$E$10,Lookups!#REF!,2,FALSE)))),Lookups!$H$26:$J$110,3,FALSE))</f>
        <v/>
      </c>
      <c r="G11" s="121"/>
    </row>
    <row r="12" spans="1:9" x14ac:dyDescent="0.25">
      <c r="A12" s="140"/>
      <c r="B12" s="1"/>
      <c r="C12" s="108"/>
      <c r="D12" s="109"/>
      <c r="E12" s="187" t="str">
        <f>IF(OR(ISBLANK(C12),ISBLANK(D12)),"",D12*VLOOKUP((IF(OR(C12="Residential urban land",C12="Commercial/industrial urban land",C12="Open urban land",C12="Greenspace",C12="Community food growing",C12="Woodland",C12="Shrub", C12="Water"), "|||"&amp;C12, (VLOOKUP('Stage 2'!$E$9,Lookups!$C$140:$D$140,2,FALSE)&amp;"|"&amp;C12&amp;"|"&amp;VLOOKUP('Stage 2'!$E$12,Lookups!$C$154:$D$155,2,FALSE)&amp;"|"&amp;VLOOKUP('Stage 2'!$E$11,Lookups!$C$114:$E$136,3,FALSE)&amp;"|"&amp;VLOOKUP('Stage 2'!$E$10,Lookups!$C$145:$E$150,2,FALSE)))),Lookups!$H$26:$J$110,2,FALSE))</f>
        <v/>
      </c>
      <c r="F12" s="77" t="str">
        <f>IF(OR(ISBLANK(C12),ISBLANK(D12)),"",D12*VLOOKUP((IF(OR(C12="Residential urban land",C12="Commercial/industrial urban land",C12="Open urban land",C12="Greenspace",C12="Community food growing",C12="Woodland",C12="Shrub", C12="Water"), "|||"&amp;C12, (VLOOKUP('Stage 2'!$E$9,Lookups!$C$140:$D$140,2,FALSE)&amp;"|"&amp;C12&amp;"|"&amp;VLOOKUP('Stage 2'!$E$12,Lookups!$C$154:$D$155,2,FALSE)&amp;"|"&amp;VLOOKUP('Stage 2'!$E$11,Lookups!$C$114:$E$136,3,FALSE)&amp;"|"&amp;VLOOKUP('Stage 2'!$E$10,Lookups!#REF!,2,FALSE)))),Lookups!$H$26:$J$110,3,FALSE))</f>
        <v/>
      </c>
      <c r="G12" s="121"/>
    </row>
    <row r="13" spans="1:9" x14ac:dyDescent="0.25">
      <c r="A13" s="140"/>
      <c r="B13" s="1"/>
      <c r="C13" s="108"/>
      <c r="D13" s="109"/>
      <c r="E13" s="187" t="str">
        <f>IF(OR(ISBLANK(C13),ISBLANK(D13)),"",D13*VLOOKUP((IF(OR(C13="Residential urban land",C13="Commercial/industrial urban land",C13="Open urban land",C13="Greenspace",C13="Community food growing",C13="Woodland",C13="Shrub", C13="Water"), "|||"&amp;C13, (VLOOKUP('Stage 2'!$E$9,Lookups!$C$140:$D$140,2,FALSE)&amp;"|"&amp;C13&amp;"|"&amp;VLOOKUP('Stage 2'!$E$12,Lookups!$C$154:$D$155,2,FALSE)&amp;"|"&amp;VLOOKUP('Stage 2'!$E$11,Lookups!$C$114:$E$136,3,FALSE)&amp;"|"&amp;VLOOKUP('Stage 2'!$E$10,Lookups!$C$145:$E$150,2,FALSE)))),Lookups!$H$26:$J$110,2,FALSE))</f>
        <v/>
      </c>
      <c r="F13" s="77" t="str">
        <f>IF(OR(ISBLANK(C13),ISBLANK(D13)),"",D13*VLOOKUP((IF(OR(C13="Residential urban land",C13="Commercial/industrial urban land",C13="Open urban land",C13="Greenspace",C13="Community food growing",C13="Woodland",C13="Shrub", C13="Water"), "|||"&amp;C13, (VLOOKUP('Stage 2'!$E$9,Lookups!$C$140:$D$140,2,FALSE)&amp;"|"&amp;C13&amp;"|"&amp;VLOOKUP('Stage 2'!$E$12,Lookups!$C$154:$D$155,2,FALSE)&amp;"|"&amp;VLOOKUP('Stage 2'!$E$11,Lookups!$C$114:$E$136,3,FALSE)&amp;"|"&amp;VLOOKUP('Stage 2'!$E$10,Lookups!#REF!,2,FALSE)))),Lookups!$H$26:$J$110,3,FALSE))</f>
        <v/>
      </c>
      <c r="G13" s="121"/>
    </row>
    <row r="14" spans="1:9" x14ac:dyDescent="0.25">
      <c r="A14" s="140"/>
      <c r="B14" s="1"/>
      <c r="C14" s="108"/>
      <c r="D14" s="109"/>
      <c r="E14" s="187" t="str">
        <f>IF(OR(ISBLANK(C14),ISBLANK(D14)),"",D14*VLOOKUP((IF(OR(C14="Residential urban land",C14="Commercial/industrial urban land",C14="Open urban land",C14="Greenspace",C14="Community food growing",C14="Woodland",C14="Shrub", C14="Water"), "|||"&amp;C14, (VLOOKUP('Stage 2'!$E$9,Lookups!$C$140:$D$140,2,FALSE)&amp;"|"&amp;C14&amp;"|"&amp;VLOOKUP('Stage 2'!$E$12,Lookups!$C$154:$D$155,2,FALSE)&amp;"|"&amp;VLOOKUP('Stage 2'!$E$11,Lookups!$C$114:$E$136,3,FALSE)&amp;"|"&amp;VLOOKUP('Stage 2'!$E$10,Lookups!$C$145:$E$150,2,FALSE)))),Lookups!$H$26:$J$110,2,FALSE))</f>
        <v/>
      </c>
      <c r="F14" s="77" t="str">
        <f>IF(OR(ISBLANK(C14),ISBLANK(D14)),"",D14*VLOOKUP((IF(OR(C14="Residential urban land",C14="Commercial/industrial urban land",C14="Open urban land",C14="Greenspace",C14="Community food growing",C14="Woodland",C14="Shrub", C14="Water"), "|||"&amp;C14, (VLOOKUP('Stage 2'!$E$9,Lookups!$C$140:$D$140,2,FALSE)&amp;"|"&amp;C14&amp;"|"&amp;VLOOKUP('Stage 2'!$E$12,Lookups!$C$154:$D$155,2,FALSE)&amp;"|"&amp;VLOOKUP('Stage 2'!$E$11,Lookups!$C$114:$E$136,3,FALSE)&amp;"|"&amp;VLOOKUP('Stage 2'!$E$10,Lookups!#REF!,2,FALSE)))),Lookups!$H$26:$J$110,3,FALSE))</f>
        <v/>
      </c>
      <c r="G14" s="121"/>
    </row>
    <row r="15" spans="1:9" x14ac:dyDescent="0.25">
      <c r="A15" s="140"/>
      <c r="B15" s="1"/>
      <c r="C15" s="108"/>
      <c r="D15" s="109"/>
      <c r="E15" s="187" t="str">
        <f>IF(OR(ISBLANK(C15),ISBLANK(D15)),"",D15*VLOOKUP((IF(OR(C15="Residential urban land",C15="Commercial/industrial urban land",C15="Open urban land",C15="Greenspace",C15="Community food growing",C15="Woodland",C15="Shrub", C15="Water"), "|||"&amp;C15, (VLOOKUP('Stage 2'!$E$9,Lookups!$C$140:$D$140,2,FALSE)&amp;"|"&amp;C15&amp;"|"&amp;VLOOKUP('Stage 2'!$E$12,Lookups!$C$154:$D$155,2,FALSE)&amp;"|"&amp;VLOOKUP('Stage 2'!$E$11,Lookups!$C$114:$E$136,3,FALSE)&amp;"|"&amp;VLOOKUP('Stage 2'!$E$10,Lookups!$C$145:$E$150,2,FALSE)))),Lookups!$H$26:$J$110,2,FALSE))</f>
        <v/>
      </c>
      <c r="F15" s="77" t="str">
        <f>IF(OR(ISBLANK(C15),ISBLANK(D15)),"",D15*VLOOKUP((IF(OR(C15="Residential urban land",C15="Commercial/industrial urban land",C15="Open urban land",C15="Greenspace",C15="Community food growing",C15="Woodland",C15="Shrub", C15="Water"), "|||"&amp;C15, (VLOOKUP('Stage 2'!$E$9,Lookups!$C$140:$D$140,2,FALSE)&amp;"|"&amp;C15&amp;"|"&amp;VLOOKUP('Stage 2'!$E$12,Lookups!$C$154:$D$155,2,FALSE)&amp;"|"&amp;VLOOKUP('Stage 2'!$E$11,Lookups!$C$114:$E$136,3,FALSE)&amp;"|"&amp;VLOOKUP('Stage 2'!$E$10,Lookups!#REF!,2,FALSE)))),Lookups!$H$26:$J$110,3,FALSE))</f>
        <v/>
      </c>
      <c r="G15" s="121"/>
      <c r="I15" s="171"/>
    </row>
    <row r="16" spans="1:9" x14ac:dyDescent="0.25">
      <c r="A16" s="140"/>
      <c r="B16" s="1"/>
      <c r="C16" s="108"/>
      <c r="D16" s="109"/>
      <c r="E16" s="187" t="str">
        <f>IF(OR(ISBLANK(C16),ISBLANK(D16)),"",D16*VLOOKUP((IF(OR(C16="Residential urban land",C16="Commercial/industrial urban land",C16="Open urban land",C16="Greenspace",C16="Community food growing",C16="Woodland",C16="Shrub", C16="Water"), "|||"&amp;C16, (VLOOKUP('Stage 2'!$E$9,Lookups!$C$140:$D$140,2,FALSE)&amp;"|"&amp;C16&amp;"|"&amp;VLOOKUP('Stage 2'!$E$12,Lookups!$C$154:$D$155,2,FALSE)&amp;"|"&amp;VLOOKUP('Stage 2'!$E$11,Lookups!$C$114:$E$136,3,FALSE)&amp;"|"&amp;VLOOKUP('Stage 2'!$E$10,Lookups!$C$145:$E$150,2,FALSE)))),Lookups!$H$26:$J$110,2,FALSE))</f>
        <v/>
      </c>
      <c r="F16" s="77" t="str">
        <f>IF(OR(ISBLANK(C16),ISBLANK(D16)),"",D16*VLOOKUP((IF(OR(C16="Residential urban land",C16="Commercial/industrial urban land",C16="Open urban land",C16="Greenspace",C16="Community food growing",C16="Woodland",C16="Shrub", C16="Water"), "|||"&amp;C16, (VLOOKUP('Stage 2'!$E$9,Lookups!$C$140:$D$140,2,FALSE)&amp;"|"&amp;C16&amp;"|"&amp;VLOOKUP('Stage 2'!$E$12,Lookups!$C$154:$D$155,2,FALSE)&amp;"|"&amp;VLOOKUP('Stage 2'!$E$11,Lookups!$C$114:$E$136,3,FALSE)&amp;"|"&amp;VLOOKUP('Stage 2'!$E$10,Lookups!#REF!,2,FALSE)))),Lookups!$H$26:$J$110,3,FALSE))</f>
        <v/>
      </c>
      <c r="G16" s="121"/>
    </row>
    <row r="17" spans="1:11" x14ac:dyDescent="0.25">
      <c r="A17" s="140"/>
      <c r="B17" s="1"/>
      <c r="C17" s="108"/>
      <c r="D17" s="109"/>
      <c r="E17" s="187" t="str">
        <f>IF(OR(ISBLANK(C17),ISBLANK(D17)),"",D17*VLOOKUP((IF(OR(C17="Residential urban land",C17="Commercial/industrial urban land",C17="Open urban land",C17="Greenspace",C17="Community food growing",C17="Woodland",C17="Shrub", C17="Water"), "|||"&amp;C17, (VLOOKUP('Stage 2'!$E$9,Lookups!$C$140:$D$140,2,FALSE)&amp;"|"&amp;C17&amp;"|"&amp;VLOOKUP('Stage 2'!$E$12,Lookups!$C$154:$D$155,2,FALSE)&amp;"|"&amp;VLOOKUP('Stage 2'!$E$11,Lookups!$C$114:$E$136,3,FALSE)&amp;"|"&amp;VLOOKUP('Stage 2'!$E$10,Lookups!$C$145:$E$150,2,FALSE)))),Lookups!$H$26:$J$110,2,FALSE))</f>
        <v/>
      </c>
      <c r="F17" s="77" t="str">
        <f>IF(OR(ISBLANK(C17),ISBLANK(D17)),"",D17*VLOOKUP((IF(OR(C17="Residential urban land",C17="Commercial/industrial urban land",C17="Open urban land",C17="Greenspace",C17="Community food growing",C17="Woodland",C17="Shrub", C17="Water"), "|||"&amp;C17, (VLOOKUP('Stage 2'!$E$9,Lookups!$C$140:$D$140,2,FALSE)&amp;"|"&amp;C17&amp;"|"&amp;VLOOKUP('Stage 2'!$E$12,Lookups!$C$154:$D$155,2,FALSE)&amp;"|"&amp;VLOOKUP('Stage 2'!$E$11,Lookups!$C$114:$E$136,3,FALSE)&amp;"|"&amp;VLOOKUP('Stage 2'!$E$10,Lookups!#REF!,2,FALSE)))),Lookups!$H$26:$J$110,3,FALSE))</f>
        <v/>
      </c>
      <c r="G17" s="121"/>
    </row>
    <row r="18" spans="1:11" x14ac:dyDescent="0.25">
      <c r="A18" s="140"/>
      <c r="B18" s="1"/>
      <c r="C18" s="108"/>
      <c r="D18" s="206"/>
      <c r="E18" s="187" t="str">
        <f>IF(OR(ISBLANK(C18),ISBLANK(D18)),"",D18*VLOOKUP((IF(OR(C18="Residential urban land",C18="Commercial/industrial urban land",C18="Open urban land",C18="Greenspace",C18="Community food growing",C18="Woodland",C18="Shrub", C18="Water"), "|||"&amp;C18, (VLOOKUP('Stage 2'!$E$9,Lookups!$C$140:$D$140,2,FALSE)&amp;"|"&amp;C18&amp;"|"&amp;VLOOKUP('Stage 2'!$E$12,Lookups!$C$154:$D$155,2,FALSE)&amp;"|"&amp;VLOOKUP('Stage 2'!$E$11,Lookups!$C$114:$E$136,3,FALSE)&amp;"|"&amp;VLOOKUP('Stage 2'!$E$10,Lookups!$C$145:$E$150,2,FALSE)))),Lookups!$H$26:$J$110,2,FALSE))</f>
        <v/>
      </c>
      <c r="F18" s="77" t="str">
        <f>IF(OR(ISBLANK(C18),ISBLANK(D18)),"",D18*VLOOKUP((IF(OR(C18="Residential urban land",C18="Commercial/industrial urban land",C18="Open urban land",C18="Greenspace",C18="Community food growing",C18="Woodland",C18="Shrub", C18="Water"), "|||"&amp;C18, (VLOOKUP('Stage 2'!$E$9,Lookups!$C$140:$D$140,2,FALSE)&amp;"|"&amp;C18&amp;"|"&amp;VLOOKUP('Stage 2'!$E$12,Lookups!$C$154:$D$155,2,FALSE)&amp;"|"&amp;VLOOKUP('Stage 2'!$E$11,Lookups!$C$114:$E$136,3,FALSE)&amp;"|"&amp;VLOOKUP('Stage 2'!$E$10,Lookups!#REF!,2,FALSE)))),Lookups!$H$26:$J$110,3,FALSE))</f>
        <v/>
      </c>
      <c r="G18" s="121"/>
    </row>
    <row r="19" spans="1:11" x14ac:dyDescent="0.25">
      <c r="A19" s="140"/>
      <c r="B19" s="1"/>
      <c r="C19" s="108"/>
      <c r="D19" s="206"/>
      <c r="E19" s="187" t="str">
        <f>IF(OR(ISBLANK(C19),ISBLANK(D19)),"",D19*VLOOKUP((IF(OR(C19="Residential urban land",C19="Commercial/industrial urban land",C19="Open urban land",C19="Greenspace",C19="Community food growing",C19="Woodland",C19="Shrub", C19="Water"), "|||"&amp;C19, (VLOOKUP('Stage 2'!$E$9,Lookups!$C$140:$D$140,2,FALSE)&amp;"|"&amp;C19&amp;"|"&amp;VLOOKUP('Stage 2'!$E$12,Lookups!$C$154:$D$155,2,FALSE)&amp;"|"&amp;VLOOKUP('Stage 2'!$E$11,Lookups!$C$114:$E$136,3,FALSE)&amp;"|"&amp;VLOOKUP('Stage 2'!$E$10,Lookups!$C$145:$E$150,2,FALSE)))),Lookups!$H$26:$J$110,2,FALSE))</f>
        <v/>
      </c>
      <c r="F19" s="77" t="str">
        <f>IF(OR(ISBLANK(C19),ISBLANK(D19)),"",D19*VLOOKUP((IF(OR(C19="Residential urban land",C19="Commercial/industrial urban land",C19="Open urban land",C19="Greenspace",C19="Community food growing",C19="Woodland",C19="Shrub", C19="Water"), "|||"&amp;C19, (VLOOKUP('Stage 2'!$E$9,Lookups!$C$140:$D$140,2,FALSE)&amp;"|"&amp;C19&amp;"|"&amp;VLOOKUP('Stage 2'!$E$12,Lookups!$C$154:$D$155,2,FALSE)&amp;"|"&amp;VLOOKUP('Stage 2'!$E$11,Lookups!$C$114:$E$136,3,FALSE)&amp;"|"&amp;VLOOKUP('Stage 2'!$E$10,Lookups!#REF!,2,FALSE)))),Lookups!$H$26:$J$110,3,FALSE))</f>
        <v/>
      </c>
      <c r="G19" s="121"/>
    </row>
    <row r="20" spans="1:11" x14ac:dyDescent="0.25">
      <c r="A20" s="140"/>
      <c r="B20" s="1"/>
      <c r="C20" s="108"/>
      <c r="D20" s="206"/>
      <c r="E20" s="187" t="str">
        <f>IF(OR(ISBLANK(C20),ISBLANK(D20)),"",D20*VLOOKUP((IF(OR(C20="Residential urban land",C20="Commercial/industrial urban land",C20="Open urban land",C20="Greenspace",C20="Community food growing",C20="Woodland",C20="Shrub", C20="Water"), "|||"&amp;C20, (VLOOKUP('Stage 2'!$E$9,Lookups!$C$140:$D$140,2,FALSE)&amp;"|"&amp;C20&amp;"|"&amp;VLOOKUP('Stage 2'!$E$12,Lookups!$C$154:$D$155,2,FALSE)&amp;"|"&amp;VLOOKUP('Stage 2'!$E$11,Lookups!$C$114:$E$136,3,FALSE)&amp;"|"&amp;VLOOKUP('Stage 2'!$E$10,Lookups!$C$145:$E$150,2,FALSE)))),Lookups!$H$26:$J$110,2,FALSE))</f>
        <v/>
      </c>
      <c r="F20" s="77" t="str">
        <f>IF(OR(ISBLANK(C20),ISBLANK(D20)),"",D20*VLOOKUP((IF(OR(C20="Residential urban land",C20="Commercial/industrial urban land",C20="Open urban land",C20="Greenspace",C20="Community food growing",C20="Woodland",C20="Shrub", C20="Water"), "|||"&amp;C20, (VLOOKUP('Stage 2'!$E$9,Lookups!$C$140:$D$140,2,FALSE)&amp;"|"&amp;C20&amp;"|"&amp;VLOOKUP('Stage 2'!$E$12,Lookups!$C$154:$D$155,2,FALSE)&amp;"|"&amp;VLOOKUP('Stage 2'!$E$11,Lookups!$C$114:$E$136,3,FALSE)&amp;"|"&amp;VLOOKUP('Stage 2'!$E$10,Lookups!#REF!,2,FALSE)))),Lookups!$H$26:$J$110,3,FALSE))</f>
        <v/>
      </c>
      <c r="G20" s="121"/>
    </row>
    <row r="21" spans="1:11" x14ac:dyDescent="0.25">
      <c r="A21" s="140"/>
      <c r="B21" s="1"/>
      <c r="C21" s="108"/>
      <c r="D21" s="206"/>
      <c r="E21" s="187" t="str">
        <f>IF(OR(ISBLANK(C21),ISBLANK(D21)),"",D21*VLOOKUP((IF(OR(C21="Residential urban land",C21="Commercial/industrial urban land",C21="Open urban land",C21="Greenspace",C21="Community food growing",C21="Woodland",C21="Shrub", C21="Water"), "|||"&amp;C21, (VLOOKUP('Stage 2'!$E$9,Lookups!$C$140:$D$140,2,FALSE)&amp;"|"&amp;C21&amp;"|"&amp;VLOOKUP('Stage 2'!$E$12,Lookups!$C$154:$D$155,2,FALSE)&amp;"|"&amp;VLOOKUP('Stage 2'!$E$11,Lookups!$C$114:$E$136,3,FALSE)&amp;"|"&amp;VLOOKUP('Stage 2'!$E$10,Lookups!$C$145:$E$150,2,FALSE)))),Lookups!$H$26:$J$110,2,FALSE))</f>
        <v/>
      </c>
      <c r="F21" s="77" t="str">
        <f>IF(OR(ISBLANK(C21),ISBLANK(D21)),"",D21*VLOOKUP((IF(OR(C21="Residential urban land",C21="Commercial/industrial urban land",C21="Open urban land",C21="Greenspace",C21="Community food growing",C21="Woodland",C21="Shrub", C21="Water"), "|||"&amp;C21, (VLOOKUP('Stage 2'!$E$9,Lookups!$C$140:$D$140,2,FALSE)&amp;"|"&amp;C21&amp;"|"&amp;VLOOKUP('Stage 2'!$E$12,Lookups!$C$154:$D$155,2,FALSE)&amp;"|"&amp;VLOOKUP('Stage 2'!$E$11,Lookups!$C$114:$E$136,3,FALSE)&amp;"|"&amp;VLOOKUP('Stage 2'!$E$10,Lookups!#REF!,2,FALSE)))),Lookups!$H$26:$J$110,3,FALSE))</f>
        <v/>
      </c>
      <c r="G21" s="121"/>
      <c r="K21" s="143"/>
    </row>
    <row r="22" spans="1:11" x14ac:dyDescent="0.25">
      <c r="A22" s="140"/>
      <c r="B22" s="1"/>
      <c r="C22" s="108"/>
      <c r="D22" s="206"/>
      <c r="E22" s="187" t="str">
        <f>IF(OR(ISBLANK(C22),ISBLANK(D22)),"",D22*VLOOKUP((IF(OR(C22="Residential urban land",C22="Commercial/industrial urban land",C22="Open urban land",C22="Greenspace",C22="Community food growing",C22="Woodland",C22="Shrub", C22="Water"), "|||"&amp;C22, (VLOOKUP('Stage 2'!$E$9,Lookups!$C$140:$D$140,2,FALSE)&amp;"|"&amp;C22&amp;"|"&amp;VLOOKUP('Stage 2'!$E$12,Lookups!$C$154:$D$155,2,FALSE)&amp;"|"&amp;VLOOKUP('Stage 2'!$E$11,Lookups!$C$114:$E$136,3,FALSE)&amp;"|"&amp;VLOOKUP('Stage 2'!$E$10,Lookups!$C$145:$E$150,2,FALSE)))),Lookups!$H$26:$J$110,2,FALSE))</f>
        <v/>
      </c>
      <c r="F22" s="77" t="str">
        <f>IF(OR(ISBLANK(C22),ISBLANK(D22)),"",D22*VLOOKUP((IF(OR(C22="Residential urban land",C22="Commercial/industrial urban land",C22="Open urban land",C22="Greenspace",C22="Community food growing",C22="Woodland",C22="Shrub", C22="Water"), "|||"&amp;C22, (VLOOKUP('Stage 2'!$E$9,Lookups!$C$140:$D$140,2,FALSE)&amp;"|"&amp;C22&amp;"|"&amp;VLOOKUP('Stage 2'!$E$12,Lookups!$C$154:$D$155,2,FALSE)&amp;"|"&amp;VLOOKUP('Stage 2'!$E$11,Lookups!$C$114:$E$136,3,FALSE)&amp;"|"&amp;VLOOKUP('Stage 2'!$E$10,Lookups!#REF!,2,FALSE)))),Lookups!$H$26:$J$110,3,FALSE))</f>
        <v/>
      </c>
      <c r="G22" s="121"/>
    </row>
    <row r="23" spans="1:11" x14ac:dyDescent="0.25">
      <c r="A23" s="140"/>
      <c r="B23" s="1"/>
      <c r="C23" s="108"/>
      <c r="D23" s="207"/>
      <c r="E23" s="187" t="str">
        <f>IF(OR(ISBLANK(C23),ISBLANK(D23)),"",D23*VLOOKUP((IF(OR(C23="Residential urban land",C23="Commercial/industrial urban land",C23="Open urban land",C23="Greenspace",C23="Community food growing",C23="Woodland",C23="Shrub", C23="Water"), "|||"&amp;C23, (VLOOKUP('Stage 2'!$E$9,Lookups!$C$140:$D$140,2,FALSE)&amp;"|"&amp;C23&amp;"|"&amp;VLOOKUP('Stage 2'!$E$12,Lookups!$C$154:$D$155,2,FALSE)&amp;"|"&amp;VLOOKUP('Stage 2'!$E$11,Lookups!$C$114:$E$136,3,FALSE)&amp;"|"&amp;VLOOKUP('Stage 2'!$E$10,Lookups!$C$145:$E$150,2,FALSE)))),Lookups!$H$26:$J$110,2,FALSE))</f>
        <v/>
      </c>
      <c r="F23" s="77" t="str">
        <f>IF(OR(ISBLANK(C23),ISBLANK(D23)),"",D23*VLOOKUP((IF(OR(C23="Residential urban land",C23="Commercial/industrial urban land",C23="Open urban land",C23="Greenspace",C23="Community food growing",C23="Woodland",C23="Shrub", C23="Water"), "|||"&amp;C23, (VLOOKUP('Stage 2'!$E$9,Lookups!$C$140:$D$140,2,FALSE)&amp;"|"&amp;C23&amp;"|"&amp;VLOOKUP('Stage 2'!$E$12,Lookups!$C$154:$D$155,2,FALSE)&amp;"|"&amp;VLOOKUP('Stage 2'!$E$11,Lookups!$C$114:$E$136,3,FALSE)&amp;"|"&amp;VLOOKUP('Stage 2'!$E$10,Lookups!#REF!,2,FALSE)))),Lookups!$H$26:$J$110,3,FALSE))</f>
        <v/>
      </c>
      <c r="G23" s="121"/>
    </row>
    <row r="24" spans="1:11" x14ac:dyDescent="0.25">
      <c r="A24" s="140"/>
      <c r="B24" s="1"/>
      <c r="C24" s="108"/>
      <c r="D24" s="205"/>
      <c r="E24" s="187" t="str">
        <f>IF(OR(ISBLANK(C24),ISBLANK(D24)),"",D24*VLOOKUP((IF(OR(C24="Residential urban land",C24="Commercial/industrial urban land",C24="Open urban land",C24="Greenspace",C24="Community food growing",C24="Woodland",C24="Shrub", C24="Water"), "|||"&amp;C24, (VLOOKUP('Stage 2'!$E$9,Lookups!$C$140:$D$140,2,FALSE)&amp;"|"&amp;C24&amp;"|"&amp;VLOOKUP('Stage 2'!$E$12,Lookups!$C$154:$D$155,2,FALSE)&amp;"|"&amp;VLOOKUP('Stage 2'!$E$11,Lookups!$C$114:$E$136,3,FALSE)&amp;"|"&amp;VLOOKUP('Stage 2'!$E$10,Lookups!$C$145:$E$150,2,FALSE)))),Lookups!$H$26:$J$110,2,FALSE))</f>
        <v/>
      </c>
      <c r="F24" s="77" t="str">
        <f>IF(OR(ISBLANK(C24),ISBLANK(D24)),"",D24*VLOOKUP((IF(OR(C24="Residential urban land",C24="Commercial/industrial urban land",C24="Open urban land",C24="Greenspace",C24="Community food growing",C24="Woodland",C24="Shrub", C24="Water"), "|||"&amp;C24, (VLOOKUP('Stage 2'!$E$9,Lookups!$C$140:$D$140,2,FALSE)&amp;"|"&amp;C24&amp;"|"&amp;VLOOKUP('Stage 2'!$E$12,Lookups!$C$154:$D$155,2,FALSE)&amp;"|"&amp;VLOOKUP('Stage 2'!$E$11,Lookups!$C$114:$E$136,3,FALSE)&amp;"|"&amp;VLOOKUP('Stage 2'!$E$10,Lookups!#REF!,2,FALSE)))),Lookups!$H$26:$J$110,3,FALSE))</f>
        <v/>
      </c>
      <c r="G24" s="121"/>
    </row>
    <row r="25" spans="1:11" x14ac:dyDescent="0.25">
      <c r="A25" s="140"/>
      <c r="B25" s="1"/>
      <c r="C25" s="108"/>
      <c r="D25" s="205"/>
      <c r="E25" s="187" t="str">
        <f>IF(OR(ISBLANK(C25),ISBLANK(D25)),"",D25*VLOOKUP((IF(OR(C25="Residential urban land",C25="Commercial/industrial urban land",C25="Open urban land",C25="Greenspace",C25="Community food growing",C25="Woodland",C25="Shrub", C25="Water"), "|||"&amp;C25, (VLOOKUP('Stage 2'!$E$9,Lookups!$C$140:$D$140,2,FALSE)&amp;"|"&amp;C25&amp;"|"&amp;VLOOKUP('Stage 2'!$E$12,Lookups!$C$154:$D$155,2,FALSE)&amp;"|"&amp;VLOOKUP('Stage 2'!$E$11,Lookups!$C$114:$E$136,3,FALSE)&amp;"|"&amp;VLOOKUP('Stage 2'!$E$10,Lookups!$C$145:$E$150,2,FALSE)))),Lookups!$H$26:$J$110,2,FALSE))</f>
        <v/>
      </c>
      <c r="F25" s="77" t="str">
        <f>IF(OR(ISBLANK(C25),ISBLANK(D25)),"",D25*VLOOKUP((IF(OR(C25="Residential urban land",C25="Commercial/industrial urban land",C25="Open urban land",C25="Greenspace",C25="Community food growing",C25="Woodland",C25="Shrub", C25="Water"), "|||"&amp;C25, (VLOOKUP('Stage 2'!$E$9,Lookups!$C$140:$D$140,2,FALSE)&amp;"|"&amp;C25&amp;"|"&amp;VLOOKUP('Stage 2'!$E$12,Lookups!$C$154:$D$155,2,FALSE)&amp;"|"&amp;VLOOKUP('Stage 2'!$E$11,Lookups!$C$114:$E$136,3,FALSE)&amp;"|"&amp;VLOOKUP('Stage 2'!$E$10,Lookups!#REF!,2,FALSE)))),Lookups!$H$26:$J$110,3,FALSE))</f>
        <v/>
      </c>
      <c r="G25" s="121"/>
    </row>
    <row r="26" spans="1:11" ht="15.75" thickBot="1" x14ac:dyDescent="0.3">
      <c r="A26" s="140"/>
      <c r="B26" s="1"/>
      <c r="C26" s="117"/>
      <c r="D26" s="208"/>
      <c r="E26" s="118" t="str">
        <f>IF(OR(ISBLANK(C26),ISBLANK(D26)),"",D26*VLOOKUP((IF(OR(C26="Residential urban land",C26="Commercial/industrial urban land",C26="Open urban land",C26="Greenspace",C26="Community food growing",C26="Woodland",C26="Shrub", C26="Water"), "|||"&amp;C26, (VLOOKUP('Stage 2'!$E$9,Lookups!$C$140:$D$140,2,FALSE)&amp;"|"&amp;C26&amp;"|"&amp;VLOOKUP('Stage 2'!$E$12,Lookups!$C$154:$D$155,2,FALSE)&amp;"|"&amp;VLOOKUP('Stage 2'!$E$11,Lookups!$C$114:$E$136,3,FALSE)&amp;"|"&amp;VLOOKUP('Stage 2'!$E$10,Lookups!$C$145:$E$150,2,FALSE)))),Lookups!$H$26:$J$110,2,FALSE))</f>
        <v/>
      </c>
      <c r="F26" s="78" t="str">
        <f>IF(OR(ISBLANK(C26),ISBLANK(D26)),"",D26*VLOOKUP((IF(OR(C26="Residential urban land",C26="Commercial/industrial urban land",C26="Open urban land",C26="Greenspace",C26="Community food growing",C26="Woodland",C26="Shrub", C26="Water"), "|||"&amp;C26, (VLOOKUP('Stage 2'!$E$9,Lookups!$C$140:$D$140,2,FALSE)&amp;"|"&amp;C26&amp;"|"&amp;VLOOKUP('Stage 2'!$E$12,Lookups!$C$154:$D$155,2,FALSE)&amp;"|"&amp;VLOOKUP('Stage 2'!$E$11,Lookups!$C$114:$E$136,3,FALSE)&amp;"|"&amp;VLOOKUP('Stage 2'!$E$10,Lookups!#REF!,2,FALSE)))),Lookups!$H$26:$J$110,3,FALSE))</f>
        <v/>
      </c>
      <c r="G26" s="121"/>
    </row>
    <row r="27" spans="1:11" x14ac:dyDescent="0.25">
      <c r="A27" s="140"/>
      <c r="B27" s="1"/>
      <c r="C27" s="71" t="s">
        <v>83</v>
      </c>
      <c r="D27" s="101">
        <f>SUM(D10:D26)</f>
        <v>0</v>
      </c>
      <c r="E27" s="204">
        <f>SUM(E10:E26)</f>
        <v>0</v>
      </c>
      <c r="F27" s="102">
        <f>SUM(F10:F26)</f>
        <v>0</v>
      </c>
      <c r="G27" s="121"/>
    </row>
    <row r="28" spans="1:11" ht="15.75" thickBot="1" x14ac:dyDescent="0.3">
      <c r="A28" s="140"/>
      <c r="B28" s="154"/>
      <c r="C28" s="136"/>
      <c r="D28" s="136"/>
      <c r="E28" s="136"/>
      <c r="F28" s="136"/>
      <c r="G28" s="137"/>
    </row>
    <row r="29" spans="1:11" ht="15.75" thickTop="1" x14ac:dyDescent="0.25"/>
  </sheetData>
  <sheetProtection algorithmName="SHA-512" hashValue="HAWYPNkd73Sl3yG0MphgQIAG5YZGEM7WYUdsupFuQM5lGButGt1+ybo0LZI6xm3CAusrz0LeFGlvMDyHJA1ieg==" saltValue="AZnmkKXxPEnFcM+ytwhcwQ==" spinCount="100000" sheet="1" selectLockedCells="1"/>
  <protectedRanges>
    <protectedRange algorithmName="SHA-512" hashValue="MvmTLotpKiuRnedI3A4NjKJPVt4Aw8hcOvmE+D0rBMjM9TiU4ekXkprnHN0k9oVg0inb+CLcUsLFrJxBFcC6uw==" saltValue="93Zg0snhziumGVhjlXa2zg==" spinCount="100000" sqref="C10:D26" name="Range1"/>
  </protectedRanges>
  <mergeCells count="2">
    <mergeCell ref="B3:G5"/>
    <mergeCell ref="C7:F7"/>
  </mergeCells>
  <dataValidations xWindow="165" yWindow="453" count="1">
    <dataValidation allowBlank="1" showInputMessage="1" showErrorMessage="1" prompt="Please enter area in hectares." sqref="D10:D26" xr:uid="{F230AB9C-8339-4373-B4B8-7B45A3D33AEE}"/>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65" yWindow="453" count="1">
        <x14:dataValidation type="list" allowBlank="1" showInputMessage="1" showErrorMessage="1" errorTitle="Landcover" error="Please select all pre exisitng landcover types." prompt="Select post-development land use types from the drop down list." xr:uid="{51F5E2AD-E143-42DF-A632-0BF00B88FF2E}">
          <x14:formula1>
            <xm:f>Lookups!$G$149:$G$156</xm:f>
          </x14:formula1>
          <xm:sqref>C10:C26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82EE-826E-403B-BCD4-7E1A897AA803}">
  <dimension ref="A2:L33"/>
  <sheetViews>
    <sheetView showRowColHeaders="0" zoomScaleNormal="100" workbookViewId="0"/>
  </sheetViews>
  <sheetFormatPr defaultColWidth="9.140625" defaultRowHeight="15" x14ac:dyDescent="0.25"/>
  <cols>
    <col min="1" max="1" width="9.140625" style="139"/>
    <col min="2" max="2" width="4.85546875" style="139" customWidth="1"/>
    <col min="3" max="3" width="30.42578125" style="139" customWidth="1"/>
    <col min="4" max="4" width="26.85546875" style="139" customWidth="1"/>
    <col min="5" max="5" width="9.140625" style="139"/>
    <col min="6" max="6" width="35" style="139" customWidth="1"/>
    <col min="7" max="7" width="23.28515625" style="139" customWidth="1"/>
    <col min="8" max="10" width="9.140625" style="139"/>
    <col min="11" max="11" width="7.140625" style="139" customWidth="1"/>
    <col min="12" max="16384" width="9.140625" style="139"/>
  </cols>
  <sheetData>
    <row r="2" spans="1:12" ht="15.75" thickBot="1" x14ac:dyDescent="0.3"/>
    <row r="3" spans="1:12" ht="15.75" thickTop="1" x14ac:dyDescent="0.25">
      <c r="B3" s="277" t="s">
        <v>199</v>
      </c>
      <c r="C3" s="278"/>
      <c r="D3" s="278"/>
      <c r="E3" s="278"/>
      <c r="F3" s="278"/>
      <c r="G3" s="278"/>
      <c r="H3" s="279"/>
    </row>
    <row r="4" spans="1:12" x14ac:dyDescent="0.25">
      <c r="B4" s="266"/>
      <c r="C4" s="267"/>
      <c r="D4" s="267"/>
      <c r="E4" s="267"/>
      <c r="F4" s="267"/>
      <c r="G4" s="267"/>
      <c r="H4" s="268"/>
    </row>
    <row r="5" spans="1:12" x14ac:dyDescent="0.25">
      <c r="B5" s="266"/>
      <c r="C5" s="267"/>
      <c r="D5" s="267"/>
      <c r="E5" s="267"/>
      <c r="F5" s="267"/>
      <c r="G5" s="267"/>
      <c r="H5" s="268"/>
      <c r="I5" s="143"/>
      <c r="J5" s="143"/>
      <c r="K5" s="143"/>
      <c r="L5" s="143"/>
    </row>
    <row r="6" spans="1:12" ht="17.25" x14ac:dyDescent="0.25">
      <c r="A6" s="143"/>
      <c r="B6" s="133"/>
      <c r="C6" s="4"/>
      <c r="D6" s="4"/>
      <c r="E6" s="4"/>
      <c r="F6" s="4"/>
      <c r="G6" s="4"/>
      <c r="H6" s="121"/>
      <c r="L6" s="146"/>
    </row>
    <row r="7" spans="1:12" ht="18" x14ac:dyDescent="0.25">
      <c r="A7" s="143"/>
      <c r="B7" s="133"/>
      <c r="C7" s="280" t="s">
        <v>198</v>
      </c>
      <c r="D7" s="280"/>
      <c r="E7" s="4"/>
      <c r="F7" s="4"/>
      <c r="G7" s="4"/>
      <c r="H7" s="121"/>
      <c r="L7" s="146"/>
    </row>
    <row r="8" spans="1:12" ht="18" hidden="1" customHeight="1" x14ac:dyDescent="0.35">
      <c r="A8" s="143"/>
      <c r="B8" s="133"/>
      <c r="C8" s="4"/>
      <c r="D8" s="4"/>
      <c r="E8" s="4"/>
      <c r="F8" s="4"/>
      <c r="G8" s="4"/>
      <c r="H8" s="172"/>
      <c r="I8" s="175"/>
      <c r="J8" s="176"/>
      <c r="L8" s="148"/>
    </row>
    <row r="9" spans="1:12" ht="12" hidden="1" customHeight="1" x14ac:dyDescent="0.35">
      <c r="A9" s="143"/>
      <c r="B9" s="133"/>
      <c r="C9" s="4"/>
      <c r="D9" s="4"/>
      <c r="E9" s="4"/>
      <c r="F9" s="4"/>
      <c r="G9" s="4"/>
      <c r="H9" s="173"/>
      <c r="I9" s="177"/>
      <c r="J9" s="178"/>
      <c r="L9" s="148"/>
    </row>
    <row r="10" spans="1:12" ht="18" hidden="1" thickBot="1" x14ac:dyDescent="0.4">
      <c r="A10" s="143"/>
      <c r="B10" s="133"/>
      <c r="C10" s="68" t="s">
        <v>91</v>
      </c>
      <c r="D10" s="96" t="str">
        <f>'Stage 1'!D29</f>
        <v/>
      </c>
      <c r="E10" s="29"/>
      <c r="F10" s="4"/>
      <c r="G10" s="4"/>
      <c r="H10" s="173"/>
      <c r="I10" s="177"/>
      <c r="J10" s="178"/>
      <c r="L10" s="148"/>
    </row>
    <row r="11" spans="1:12" ht="21" hidden="1" customHeight="1" thickBot="1" x14ac:dyDescent="0.4">
      <c r="A11" s="143"/>
      <c r="B11" s="133"/>
      <c r="C11" s="120" t="s">
        <v>90</v>
      </c>
      <c r="D11" s="97">
        <f>'Stage 3'!E27-'Stage 2'!E32</f>
        <v>0</v>
      </c>
      <c r="E11" s="24"/>
      <c r="F11" s="4"/>
      <c r="G11" s="4"/>
      <c r="H11" s="173"/>
      <c r="I11" s="179"/>
      <c r="J11" s="178"/>
      <c r="K11" s="146"/>
      <c r="L11" s="149"/>
    </row>
    <row r="12" spans="1:12" ht="18" hidden="1" thickBot="1" x14ac:dyDescent="0.3">
      <c r="A12" s="143"/>
      <c r="B12" s="133"/>
      <c r="C12" s="120" t="s">
        <v>89</v>
      </c>
      <c r="D12" s="65" t="e">
        <f>D10+D11</f>
        <v>#VALUE!</v>
      </c>
      <c r="E12" s="25"/>
      <c r="F12" s="4"/>
      <c r="G12" s="4"/>
      <c r="H12" s="151"/>
      <c r="I12" s="180"/>
      <c r="J12" s="148"/>
      <c r="K12" s="148"/>
      <c r="L12" s="149"/>
    </row>
    <row r="13" spans="1:12" ht="29.25" hidden="1" customHeight="1" x14ac:dyDescent="0.25">
      <c r="B13" s="133"/>
      <c r="C13" s="119" t="s">
        <v>88</v>
      </c>
      <c r="D13" s="98" t="e">
        <f>D12*1.2</f>
        <v>#VALUE!</v>
      </c>
      <c r="E13" s="26"/>
      <c r="F13" s="4"/>
      <c r="G13" s="4"/>
      <c r="H13" s="153"/>
      <c r="I13" s="181"/>
      <c r="J13" s="149"/>
      <c r="K13" s="149"/>
    </row>
    <row r="14" spans="1:12" ht="11.25" hidden="1" customHeight="1" x14ac:dyDescent="0.25">
      <c r="B14" s="133"/>
      <c r="C14" s="29"/>
      <c r="D14" s="174"/>
      <c r="E14" s="29"/>
      <c r="F14" s="4"/>
      <c r="G14" s="4"/>
      <c r="H14" s="121"/>
    </row>
    <row r="15" spans="1:12" hidden="1" x14ac:dyDescent="0.25">
      <c r="B15" s="133"/>
      <c r="C15" s="29"/>
      <c r="D15" s="174"/>
      <c r="E15" s="29"/>
      <c r="F15" s="4"/>
      <c r="G15" s="4"/>
      <c r="H15" s="121"/>
    </row>
    <row r="16" spans="1:12" ht="15.75" hidden="1" thickBot="1" x14ac:dyDescent="0.3">
      <c r="B16" s="133"/>
      <c r="C16" s="68" t="s">
        <v>84</v>
      </c>
      <c r="D16" s="96" t="str">
        <f>'Stage 1'!D34</f>
        <v/>
      </c>
      <c r="E16" s="29"/>
      <c r="F16" s="4"/>
      <c r="G16" s="4"/>
      <c r="H16" s="121"/>
    </row>
    <row r="17" spans="2:8" ht="15.75" hidden="1" thickBot="1" x14ac:dyDescent="0.3">
      <c r="B17" s="133"/>
      <c r="C17" s="120" t="s">
        <v>85</v>
      </c>
      <c r="D17" s="99">
        <f>'Stage 3'!F27-'Stage 2'!F32</f>
        <v>0</v>
      </c>
      <c r="E17" s="29"/>
      <c r="F17" s="4"/>
      <c r="G17" s="4"/>
      <c r="H17" s="121"/>
    </row>
    <row r="18" spans="2:8" ht="15.75" hidden="1" thickBot="1" x14ac:dyDescent="0.3">
      <c r="B18" s="133"/>
      <c r="C18" s="67" t="s">
        <v>86</v>
      </c>
      <c r="D18" s="86" t="e">
        <f>D16+D17</f>
        <v>#VALUE!</v>
      </c>
      <c r="E18" s="19"/>
      <c r="F18" s="4"/>
      <c r="G18" s="4"/>
      <c r="H18" s="121"/>
    </row>
    <row r="19" spans="2:8" hidden="1" x14ac:dyDescent="0.25">
      <c r="B19" s="133"/>
      <c r="C19" s="119" t="s">
        <v>87</v>
      </c>
      <c r="D19" s="98" t="e">
        <f>D18*1.2</f>
        <v>#VALUE!</v>
      </c>
      <c r="E19" s="19"/>
      <c r="F19" s="4"/>
      <c r="G19" s="4"/>
      <c r="H19" s="121"/>
    </row>
    <row r="20" spans="2:8" ht="17.25" x14ac:dyDescent="0.25">
      <c r="B20" s="133"/>
      <c r="C20" s="10"/>
      <c r="D20" s="12"/>
      <c r="E20" s="13"/>
      <c r="F20" s="4"/>
      <c r="G20" s="4"/>
      <c r="H20" s="121"/>
    </row>
    <row r="21" spans="2:8" ht="24.75" customHeight="1" x14ac:dyDescent="0.25">
      <c r="B21" s="133"/>
      <c r="C21" s="281" t="str">
        <f>IFERROR(IF(AND('Stage 1'!$D$9&lt;DATE(2025,1,1),OR((VLOOKUP('Stage 1'!$D$13,Lookups!$C$8:$G$20,2,FALSE))&gt;(VLOOKUP('Stage 1'!$D$13,Lookups!$C$8:$G$20,4,FALSE)),(VLOOKUP('Stage 1'!$D$13,Lookups!$C$8:$G$20,3,FALSE))&gt;(VLOOKUP('Stage 1'!$D$13,Lookups!$C$8:$G$20,5,FALSE)))),"Post-2025 Annual Nutrient Budget","Annual Nutrient Budget"),"")</f>
        <v/>
      </c>
      <c r="D21" s="281"/>
      <c r="E21" s="13"/>
      <c r="F21" s="281" t="str">
        <f>IFERROR(IF(AND('Stage 1'!$D$9&lt;DATE(2025,1,1),OR((VLOOKUP('Stage 1'!$D$13,Lookups!$C$8:$G$20,2,FALSE))&gt;(VLOOKUP('Stage 1'!$D$13,Lookups!$C$8:$G$20,4,FALSE)),(VLOOKUP('Stage 1'!$D$13,Lookups!$C$8:$G$20,3,FALSE))&gt;(VLOOKUP('Stage 1'!$D$13,Lookups!$C$8:$G$20,5,FALSE)))),"Pre-2025 Annual Nutrient Budget",""),"")</f>
        <v/>
      </c>
      <c r="G21" s="281"/>
      <c r="H21" s="121"/>
    </row>
    <row r="22" spans="2:8" ht="15" customHeight="1" x14ac:dyDescent="0.25">
      <c r="B22" s="133"/>
      <c r="C22" s="282" t="s">
        <v>138</v>
      </c>
      <c r="D22" s="284" t="e">
        <f>IF(ROUND(D13,2)&lt;0,0&amp;" kg TP/year",ROUND(D13,2)&amp;" kg TP/year")</f>
        <v>#VALUE!</v>
      </c>
      <c r="E22" s="4"/>
      <c r="F22" s="282" t="str">
        <f>IFERROR(IF(AND('Stage 1'!$D$9&lt;DATE(2025,1,1),OR((VLOOKUP('Stage 1'!$D$13,Lookups!$C$8:$G$20,2,FALSE))&gt;(VLOOKUP('Stage 1'!$D$13,Lookups!$C$8:$G$20,4,FALSE)),(VLOOKUP('Stage 1'!$D$13,Lookups!$C$8:$G$20,3,FALSE))&gt;(VLOOKUP('Stage 1'!$D$13,Lookups!$C$8:$G$20,5,FALSE)))),"The pre-2025 annual phosphorus load to mitigate is:",""),"")</f>
        <v/>
      </c>
      <c r="G22" s="283" t="str">
        <f>IFERROR(IF(AND('Stage 1'!$D$9&lt;DATE(2025,1,1),OR((VLOOKUP('Stage 1'!$D$13,Lookups!$C$8:$G$20,2,FALSE))&gt;(VLOOKUP('Stage 1'!$D$13,Lookups!$C$8:$G$20,4,FALSE)),(VLOOKUP('Stage 1'!$D$13,Lookups!$C$8:$G$20,3,FALSE))&gt;(VLOOKUP('Stage 1'!$D$13,Lookups!$C$8:$G$20,5,FALSE)))),IF(ROUND(('Stage 3'!E27-'Stage 2'!E32+'Stage 1'!H22)*1.2,2)&lt;0,0&amp;" kg TP/year",ROUND(('Stage 3'!E27-'Stage 2'!E32+'Stage 1'!H22)*1.2,2)&amp;" kg TP/year"),""),"")</f>
        <v/>
      </c>
      <c r="H22" s="121"/>
    </row>
    <row r="23" spans="2:8" ht="15" customHeight="1" x14ac:dyDescent="0.25">
      <c r="B23" s="133"/>
      <c r="C23" s="282"/>
      <c r="D23" s="284"/>
      <c r="E23" s="4"/>
      <c r="F23" s="282"/>
      <c r="G23" s="283"/>
      <c r="H23" s="121"/>
    </row>
    <row r="24" spans="2:8" ht="15" customHeight="1" x14ac:dyDescent="0.25">
      <c r="B24" s="133"/>
      <c r="C24" s="282"/>
      <c r="D24" s="284"/>
      <c r="E24" s="4"/>
      <c r="F24" s="282"/>
      <c r="G24" s="283"/>
      <c r="H24" s="121"/>
    </row>
    <row r="25" spans="2:8" ht="15" customHeight="1" x14ac:dyDescent="0.25">
      <c r="B25" s="133"/>
      <c r="C25" s="282"/>
      <c r="D25" s="284"/>
      <c r="E25" s="4"/>
      <c r="F25" s="282"/>
      <c r="G25" s="283"/>
      <c r="H25" s="121"/>
    </row>
    <row r="26" spans="2:8" ht="15" hidden="1" customHeight="1" x14ac:dyDescent="0.25">
      <c r="B26" s="133"/>
      <c r="C26" s="29"/>
      <c r="D26" s="100"/>
      <c r="E26" s="4"/>
      <c r="F26" s="4"/>
      <c r="G26" s="4"/>
      <c r="H26" s="121"/>
    </row>
    <row r="27" spans="2:8" hidden="1" x14ac:dyDescent="0.25">
      <c r="B27" s="133"/>
      <c r="C27" s="29"/>
      <c r="D27" s="100"/>
      <c r="E27" s="4"/>
      <c r="F27" s="82"/>
      <c r="G27" s="4"/>
      <c r="H27" s="121"/>
    </row>
    <row r="28" spans="2:8" ht="15" hidden="1" customHeight="1" x14ac:dyDescent="0.25">
      <c r="B28" s="133"/>
      <c r="C28" s="282" t="s">
        <v>139</v>
      </c>
      <c r="D28" s="284" t="e">
        <f>IF(ROUND(D19,2)&lt;0,0&amp;" kg TN/year",ROUND(D19,2)&amp;" kg TN/year")</f>
        <v>#VALUE!</v>
      </c>
      <c r="E28" s="4"/>
      <c r="F28" s="82"/>
      <c r="G28" s="283" t="str">
        <f>IFERROR(IF(AND('Stage 1'!$D$9&lt;DATE(2025,1,1),OR((VLOOKUP('Stage 1'!$D$13,Lookups!$C$8:$G$20,2,FALSE))&gt;(VLOOKUP('Stage 1'!$D$13,Lookups!$C$8:$G$20,4,FALSE)),(VLOOKUP('Stage 1'!$D$13,Lookups!$C$8:$G$20,3,FALSE))&gt;(VLOOKUP('Stage 1'!$D$13,Lookups!$C$8:$G$20,5,FALSE)))),IF(ROUND(('Stage 3'!F27-'Stage 2'!F32+'Stage 1'!H35)*1.2,2)&lt;0,0&amp;" kg TN/year",ROUND(('Stage 3'!F27-'Stage 2'!F32+'Stage 1'!H35)*1.2,2)&amp;" kg TN/year"),""),"")</f>
        <v/>
      </c>
      <c r="H28" s="121"/>
    </row>
    <row r="29" spans="2:8" ht="15.75" hidden="1" customHeight="1" x14ac:dyDescent="0.25">
      <c r="B29" s="133"/>
      <c r="C29" s="282"/>
      <c r="D29" s="284"/>
      <c r="E29" s="4"/>
      <c r="F29" s="282" t="str">
        <f>IFERROR(IF(AND('Stage 1'!$D$9&lt;DATE(2025,1,1),OR((VLOOKUP('Stage 1'!$D$13,Lookups!$C$8:$G$20,2,FALSE))&gt;(VLOOKUP('Stage 1'!$D$13,Lookups!$C$8:$G$20,4,FALSE)),(VLOOKUP('Stage 1'!$D$13,Lookups!$C$8:$G$20,3,FALSE))&gt;(VLOOKUP('Stage 1'!$D$13,Lookups!$C$8:$G$20,5,FALSE)))),"The pre-2025 annual nitrogen load to mitigate is:",""),"")</f>
        <v/>
      </c>
      <c r="G29" s="283"/>
      <c r="H29" s="121"/>
    </row>
    <row r="30" spans="2:8" ht="15" hidden="1" customHeight="1" x14ac:dyDescent="0.25">
      <c r="B30" s="133"/>
      <c r="C30" s="282"/>
      <c r="D30" s="284"/>
      <c r="E30" s="4"/>
      <c r="F30" s="282"/>
      <c r="G30" s="283"/>
      <c r="H30" s="121"/>
    </row>
    <row r="31" spans="2:8" ht="15.75" hidden="1" customHeight="1" x14ac:dyDescent="0.25">
      <c r="B31" s="133"/>
      <c r="C31" s="282"/>
      <c r="D31" s="284"/>
      <c r="E31" s="4"/>
      <c r="F31" s="282"/>
      <c r="G31" s="283"/>
      <c r="H31" s="121"/>
    </row>
    <row r="32" spans="2:8" ht="15.75" thickBot="1" x14ac:dyDescent="0.3">
      <c r="B32" s="154"/>
      <c r="C32" s="136"/>
      <c r="D32" s="136"/>
      <c r="E32" s="136"/>
      <c r="F32" s="136"/>
      <c r="G32" s="136"/>
      <c r="H32" s="137"/>
    </row>
    <row r="33" ht="15.75" thickTop="1" x14ac:dyDescent="0.25"/>
  </sheetData>
  <sheetProtection algorithmName="SHA-512" hashValue="kxCZlsC9n6SMHmaATCAzyWz9rjY2h5NWXJy3WcvTHYd/06MYvhjg0yE56Z5Kps5EHME5Zwrfk8Izey0g+rXbkw==" saltValue="BMcwAAJiTSN7EQsB1qT08A==" spinCount="100000" sheet="1" selectLockedCells="1" selectUnlockedCells="1"/>
  <mergeCells count="12">
    <mergeCell ref="B3:H5"/>
    <mergeCell ref="C7:D7"/>
    <mergeCell ref="F21:G21"/>
    <mergeCell ref="F22:F25"/>
    <mergeCell ref="F29:F31"/>
    <mergeCell ref="G22:G25"/>
    <mergeCell ref="G28:G31"/>
    <mergeCell ref="C22:C25"/>
    <mergeCell ref="C28:C31"/>
    <mergeCell ref="D22:D25"/>
    <mergeCell ref="D28:D31"/>
    <mergeCell ref="C21:D21"/>
  </mergeCells>
  <conditionalFormatting sqref="G22:G25">
    <cfRule type="expression" dxfId="1" priority="2">
      <formula>($C$21="Post-2025 Annual Nutrient Budget")</formula>
    </cfRule>
  </conditionalFormatting>
  <conditionalFormatting sqref="G28:G31">
    <cfRule type="expression" dxfId="0" priority="1">
      <formula>($C$21="Post-2025 Annual Nutrient Budget")</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3125CCC-BE42-4D41-A6C3-63F556A5FD41}">
          <x14:formula1>
            <xm:f>'C:\Users\DS56\OneDrive - Ricardo Plc\NE NN\[Copy of Herefordshire Council Phosphate Budget Calculator_Final.xlsx]Stage 2 and 3 lookups'!#REF!</xm:f>
          </x14:formula1>
          <xm:sqref>J9:J11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1709A144B6CB1247B0EB17D39170EEBB" ma:contentTypeVersion="13" ma:contentTypeDescription="Create a new document." ma:contentTypeScope="" ma:versionID="67ecd45f770d3e359dffe841dc5eb5e3">
  <xsd:schema xmlns:xsd="http://www.w3.org/2001/XMLSchema" xmlns:xs="http://www.w3.org/2001/XMLSchema" xmlns:p="http://schemas.microsoft.com/office/2006/metadata/properties" xmlns:ns2="662745e8-e224-48e8-a2e3-254862b8c2f5" xmlns:ns3="50608f39-3744-4f2b-8ddf-6077ea9dcf84" xmlns:ns4="41b1b97e-58d0-4f82-aacc-4a7d6fa43521" targetNamespace="http://schemas.microsoft.com/office/2006/metadata/properties" ma:root="true" ma:fieldsID="42e099b84febb67c73aa22ba39b9046a" ns2:_="" ns3:_="" ns4:_="">
    <xsd:import namespace="662745e8-e224-48e8-a2e3-254862b8c2f5"/>
    <xsd:import namespace="50608f39-3744-4f2b-8ddf-6077ea9dcf84"/>
    <xsd:import namespace="41b1b97e-58d0-4f82-aacc-4a7d6fa43521"/>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DateTaken" minOccurs="0"/>
                <xsd:element ref="ns3:MediaLengthInSeconds"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9ba13cf-7d0b-4653-bdd4-d6cd8989d710}" ma:internalName="TaxCatchAll" ma:showField="CatchAllData" ma:web="41b1b97e-58d0-4f82-aacc-4a7d6fa4352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9ba13cf-7d0b-4653-bdd4-d6cd8989d710}" ma:internalName="TaxCatchAllLabel" ma:readOnly="true" ma:showField="CatchAllDataLabel" ma:web="41b1b97e-58d0-4f82-aacc-4a7d6fa43521">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atural England Programmes" ma:internalName="Team">
      <xsd:simpleType>
        <xsd:restriction base="dms:Text"/>
      </xsd:simpleType>
    </xsd:element>
    <xsd:element name="Topic" ma:index="20" nillable="true" ma:displayName="Topic" ma:default="Strategic solutions"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Internal Defra Group|0867f7b3-e76e-40ca-bb1f-5ba341a49230"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08f39-3744-4f2b-8ddf-6077ea9dcf84"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AutoTags" ma:index="33" nillable="true" ma:displayName="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b1b97e-58d0-4f82-aacc-4a7d6fa43521"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Strategic solutions</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Defra Group</TermName>
          <TermId xmlns="http://schemas.microsoft.com/office/infopath/2007/PartnerControls">0867f7b3-e76e-40ca-bb1f-5ba341a49230</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10</Value>
      <Value>9</Value>
      <Value>8</Value>
      <Value>7</Value>
      <Value>6</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NE</TermName>
          <TermId xmlns="http://schemas.microsoft.com/office/infopath/2007/PartnerControls">275df9ce-cd92-4318-adfe-db572e51c7ff</TermId>
        </TermInfo>
      </Terms>
    </fe59e9859d6a491389c5b03567f5dda5>
    <Team xmlns="662745e8-e224-48e8-a2e3-254862b8c2f5">Natural England Programmes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Props1.xml><?xml version="1.0" encoding="utf-8"?>
<ds:datastoreItem xmlns:ds="http://schemas.openxmlformats.org/officeDocument/2006/customXml" ds:itemID="{B0244C84-CB43-4666-AAF5-4A7F9F8F457C}"/>
</file>

<file path=customXml/itemProps2.xml><?xml version="1.0" encoding="utf-8"?>
<ds:datastoreItem xmlns:ds="http://schemas.openxmlformats.org/officeDocument/2006/customXml" ds:itemID="{DFED71C1-5304-48B2-9A6E-D70996162C20}"/>
</file>

<file path=customXml/itemProps3.xml><?xml version="1.0" encoding="utf-8"?>
<ds:datastoreItem xmlns:ds="http://schemas.openxmlformats.org/officeDocument/2006/customXml" ds:itemID="{9E456A41-8011-4A6E-A1AD-87F3579603C1}"/>
</file>

<file path=customXml/itemProps4.xml><?xml version="1.0" encoding="utf-8"?>
<ds:datastoreItem xmlns:ds="http://schemas.openxmlformats.org/officeDocument/2006/customXml" ds:itemID="{332CFE8B-55AB-4E1D-AC7F-20234D6051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vt:lpstr>
      <vt:lpstr>Background</vt:lpstr>
      <vt:lpstr>River Mease SAC</vt:lpstr>
      <vt:lpstr>Instructions</vt:lpstr>
      <vt:lpstr>Development site details</vt:lpstr>
      <vt:lpstr>Stage 1</vt:lpstr>
      <vt:lpstr>Stage 2</vt:lpstr>
      <vt:lpstr>Stage 3</vt:lpstr>
      <vt:lpstr>Stage 4</vt:lpstr>
      <vt:lpstr>Lookups</vt:lpstr>
      <vt:lpstr>Stage 4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Sealy, Declan</dc:creator>
  <cp:lastModifiedBy>Wood, Anita (NE)</cp:lastModifiedBy>
  <dcterms:created xsi:type="dcterms:W3CDTF">2021-10-14T13:24:34Z</dcterms:created>
  <dcterms:modified xsi:type="dcterms:W3CDTF">2022-03-09T15:58:54Z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0x010100A5BF1C78D9F64B679A5EBDE1C6598EBC01001709A144B6CB1247B0EB17D39170EEBB</vt:lpwstr>
  </property>
</Properties>
</file>